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mweltbundesamt.at\Projekte\20000\20277_Leuchtturm8\Intern\11_GF-Alliance\01_Methoden\I-PEPs\Phase_2\Methodenstandard\Excel\"/>
    </mc:Choice>
  </mc:AlternateContent>
  <bookViews>
    <workbookView xWindow="0" yWindow="0" windowWidth="19200" windowHeight="7596" tabRatio="747" activeTab="4"/>
  </bookViews>
  <sheets>
    <sheet name="Overview" sheetId="45" r:id="rId1"/>
    <sheet name="General calculation method" sheetId="46" r:id="rId2"/>
    <sheet name="PCAF comparison" sheetId="25" r:id="rId3"/>
    <sheet name="Dealing with inconsistency" sheetId="23" r:id="rId4"/>
    <sheet name="Tracking progress" sheetId="44"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2" i="44" l="1"/>
  <c r="C20" i="44"/>
  <c r="D38" i="44"/>
  <c r="E38" i="44"/>
  <c r="F38" i="44"/>
  <c r="G38" i="44"/>
  <c r="C38" i="44"/>
  <c r="H68" i="44"/>
  <c r="D68" i="44"/>
  <c r="E68" i="44"/>
  <c r="F68" i="44"/>
  <c r="G68" i="44"/>
  <c r="C31" i="44" l="1"/>
  <c r="D104" i="23"/>
  <c r="D99" i="23"/>
  <c r="C99" i="23"/>
  <c r="D95" i="23"/>
  <c r="C95" i="23"/>
  <c r="C40" i="23"/>
  <c r="C37" i="23"/>
  <c r="C91" i="23"/>
  <c r="C90" i="23"/>
  <c r="D42" i="23"/>
  <c r="C42" i="23"/>
  <c r="D68" i="23"/>
  <c r="C68" i="23"/>
  <c r="C38" i="23"/>
  <c r="C29" i="23"/>
  <c r="J35" i="25"/>
  <c r="I35" i="25"/>
  <c r="H35" i="25"/>
  <c r="G35" i="25"/>
  <c r="D27" i="25" l="1"/>
  <c r="C76" i="46"/>
  <c r="G64" i="46"/>
  <c r="F65" i="46"/>
  <c r="F64" i="46"/>
  <c r="D64" i="46"/>
  <c r="C64" i="46"/>
  <c r="D65" i="46"/>
  <c r="C65" i="46"/>
  <c r="D33" i="46"/>
  <c r="C33" i="46"/>
  <c r="F33" i="46"/>
  <c r="E33" i="46"/>
  <c r="D27" i="46"/>
  <c r="D56" i="46" s="1"/>
  <c r="C27" i="46"/>
  <c r="D54" i="46" l="1"/>
  <c r="D53" i="46"/>
  <c r="D55" i="46"/>
  <c r="C79" i="46"/>
  <c r="C78" i="46"/>
  <c r="C77" i="46"/>
  <c r="G66" i="46"/>
  <c r="F66" i="46"/>
  <c r="D66" i="46"/>
  <c r="G65" i="46"/>
  <c r="C66" i="46"/>
  <c r="D46" i="46"/>
  <c r="C46" i="46"/>
  <c r="E64" i="46" s="1"/>
  <c r="D42" i="46"/>
  <c r="D41" i="46"/>
  <c r="D40" i="46"/>
  <c r="E18" i="46"/>
  <c r="D18" i="46"/>
  <c r="C41" i="23"/>
  <c r="D93" i="23"/>
  <c r="D90" i="23"/>
  <c r="D91" i="23"/>
  <c r="D92" i="23"/>
  <c r="C93" i="23"/>
  <c r="C92" i="23"/>
  <c r="C94" i="23"/>
  <c r="H65" i="46" l="1"/>
  <c r="C55" i="46"/>
  <c r="C54" i="46"/>
  <c r="C53" i="46"/>
  <c r="E53" i="46" s="1"/>
  <c r="C56" i="46"/>
  <c r="E56" i="46" s="1"/>
  <c r="D57" i="46"/>
  <c r="H64" i="46"/>
  <c r="E65" i="46"/>
  <c r="C86" i="46" s="1"/>
  <c r="E54" i="46"/>
  <c r="C41" i="44"/>
  <c r="D86" i="46" l="1"/>
  <c r="D87" i="46" s="1"/>
  <c r="C80" i="46"/>
  <c r="H66" i="46"/>
  <c r="E66" i="46"/>
  <c r="E55" i="46"/>
  <c r="E57" i="46" s="1"/>
  <c r="C57" i="46"/>
  <c r="I68" i="44" l="1"/>
  <c r="E69" i="44"/>
  <c r="D69" i="44" s="1"/>
  <c r="C68" i="44"/>
  <c r="C69" i="44" s="1"/>
  <c r="G39" i="44"/>
  <c r="F39" i="44"/>
  <c r="E39" i="44"/>
  <c r="D39" i="44"/>
  <c r="C39" i="44"/>
  <c r="C40" i="44" l="1"/>
  <c r="F40" i="44"/>
  <c r="D40" i="44"/>
  <c r="E41" i="44"/>
  <c r="F41" i="44"/>
  <c r="D41" i="44"/>
  <c r="G41" i="44"/>
  <c r="G40" i="44" l="1"/>
  <c r="E40" i="44"/>
  <c r="H42" i="44"/>
  <c r="C79" i="25" l="1"/>
  <c r="C78" i="25"/>
  <c r="C27" i="25"/>
  <c r="D33" i="25" l="1"/>
  <c r="C33" i="25"/>
  <c r="F33" i="25"/>
  <c r="E33" i="25"/>
  <c r="D119" i="23" l="1"/>
  <c r="E116" i="23"/>
  <c r="E117" i="23"/>
  <c r="E118" i="23"/>
  <c r="E119" i="23"/>
  <c r="E115" i="23"/>
  <c r="C116" i="23"/>
  <c r="C117" i="23"/>
  <c r="C118" i="23"/>
  <c r="C119" i="23"/>
  <c r="C115" i="23"/>
  <c r="D100" i="23"/>
  <c r="D101" i="23"/>
  <c r="D102" i="23"/>
  <c r="D77" i="23" l="1"/>
  <c r="D81" i="23"/>
  <c r="E42" i="23"/>
  <c r="F42" i="23"/>
  <c r="H42" i="23"/>
  <c r="G41" i="23"/>
  <c r="D29" i="23"/>
  <c r="E19" i="23"/>
  <c r="C67" i="23" s="1"/>
  <c r="D19" i="23"/>
  <c r="D38" i="23"/>
  <c r="C39" i="23"/>
  <c r="D40" i="23"/>
  <c r="J33" i="25"/>
  <c r="I33" i="25"/>
  <c r="H33" i="25"/>
  <c r="G33" i="25"/>
  <c r="C81" i="25"/>
  <c r="C80" i="25"/>
  <c r="G67" i="25"/>
  <c r="F67" i="25"/>
  <c r="D67" i="25"/>
  <c r="C67" i="25"/>
  <c r="G66" i="25"/>
  <c r="F66" i="25"/>
  <c r="D66" i="25"/>
  <c r="C66" i="25"/>
  <c r="C48" i="25"/>
  <c r="D44" i="25"/>
  <c r="D43" i="25"/>
  <c r="D48" i="25" s="1"/>
  <c r="D42" i="25"/>
  <c r="D56" i="25"/>
  <c r="E18" i="25"/>
  <c r="C56" i="25" s="1"/>
  <c r="D18" i="25"/>
  <c r="D80" i="23"/>
  <c r="D79" i="23"/>
  <c r="D78" i="23"/>
  <c r="C56" i="23"/>
  <c r="D52" i="23"/>
  <c r="D51" i="23"/>
  <c r="D56" i="23" s="1"/>
  <c r="E63" i="23" s="1"/>
  <c r="D50" i="23"/>
  <c r="C100" i="25" l="1"/>
  <c r="D100" i="25"/>
  <c r="D115" i="23"/>
  <c r="D116" i="23"/>
  <c r="D117" i="23"/>
  <c r="D118" i="23"/>
  <c r="C108" i="25"/>
  <c r="C109" i="25" s="1"/>
  <c r="D108" i="25"/>
  <c r="C68" i="25"/>
  <c r="F68" i="25"/>
  <c r="C55" i="25"/>
  <c r="C57" i="25"/>
  <c r="G68" i="25"/>
  <c r="E67" i="25"/>
  <c r="D68" i="25"/>
  <c r="E56" i="25"/>
  <c r="H66" i="25"/>
  <c r="D94" i="23"/>
  <c r="D64" i="23"/>
  <c r="D63" i="23"/>
  <c r="D67" i="23"/>
  <c r="C63" i="23"/>
  <c r="E67" i="23"/>
  <c r="C103" i="23" s="1"/>
  <c r="G42" i="23"/>
  <c r="D57" i="25"/>
  <c r="D55" i="25"/>
  <c r="C58" i="25"/>
  <c r="E66" i="25"/>
  <c r="D58" i="25"/>
  <c r="H67" i="25"/>
  <c r="C66" i="23"/>
  <c r="D66" i="23"/>
  <c r="C64" i="23"/>
  <c r="E64" i="23" s="1"/>
  <c r="C100" i="23" s="1"/>
  <c r="C65" i="23"/>
  <c r="D65" i="23"/>
  <c r="E108" i="25" l="1"/>
  <c r="C88" i="25"/>
  <c r="E100" i="25"/>
  <c r="D109" i="25"/>
  <c r="E109" i="25" s="1"/>
  <c r="D88" i="25"/>
  <c r="D103" i="23"/>
  <c r="H68" i="25"/>
  <c r="E57" i="25"/>
  <c r="E58" i="25"/>
  <c r="D59" i="25"/>
  <c r="E120" i="23"/>
  <c r="C81" i="23"/>
  <c r="C78" i="23"/>
  <c r="E55" i="25"/>
  <c r="C59" i="25"/>
  <c r="E68" i="25"/>
  <c r="E66" i="23"/>
  <c r="C102" i="23" s="1"/>
  <c r="E65" i="23"/>
  <c r="C101" i="23" s="1"/>
  <c r="E68" i="23" l="1"/>
  <c r="C82" i="25"/>
  <c r="E99" i="25" s="1"/>
  <c r="D89" i="25"/>
  <c r="C80" i="23"/>
  <c r="D82" i="23"/>
  <c r="C79" i="23"/>
  <c r="C77" i="23"/>
  <c r="E59" i="25"/>
  <c r="E107" i="25" l="1"/>
</calcChain>
</file>

<file path=xl/sharedStrings.xml><?xml version="1.0" encoding="utf-8"?>
<sst xmlns="http://schemas.openxmlformats.org/spreadsheetml/2006/main" count="375" uniqueCount="149">
  <si>
    <t>Company A</t>
  </si>
  <si>
    <t>Company B</t>
  </si>
  <si>
    <t>Company C</t>
  </si>
  <si>
    <t>YoY change (relative)</t>
  </si>
  <si>
    <t>Total</t>
  </si>
  <si>
    <t>Company D</t>
  </si>
  <si>
    <t>Legend</t>
  </si>
  <si>
    <t>Input value</t>
  </si>
  <si>
    <t>Reporting year (t+1)</t>
  </si>
  <si>
    <t>Previous year (t)</t>
  </si>
  <si>
    <t>CWF</t>
  </si>
  <si>
    <t>Intermediate results</t>
  </si>
  <si>
    <t>Final results</t>
  </si>
  <si>
    <t>Balanced approach (BA)</t>
  </si>
  <si>
    <t>Portfolio weight</t>
  </si>
  <si>
    <t>Emission weight</t>
  </si>
  <si>
    <t>CPEP</t>
  </si>
  <si>
    <t>Input data</t>
  </si>
  <si>
    <t>Reference year (t)</t>
  </si>
  <si>
    <t>Sector</t>
  </si>
  <si>
    <t>Emission performance</t>
  </si>
  <si>
    <t>Target data</t>
  </si>
  <si>
    <r>
      <t>GWF</t>
    </r>
    <r>
      <rPr>
        <b/>
        <vertAlign val="subscript"/>
        <sz val="11"/>
        <color theme="1"/>
        <rFont val="Calibri"/>
        <family val="2"/>
        <scheme val="minor"/>
      </rPr>
      <t>E</t>
    </r>
  </si>
  <si>
    <r>
      <t>GWF</t>
    </r>
    <r>
      <rPr>
        <b/>
        <vertAlign val="subscript"/>
        <sz val="11"/>
        <color theme="1"/>
        <rFont val="Calibri"/>
        <family val="2"/>
        <scheme val="minor"/>
      </rPr>
      <t>P</t>
    </r>
  </si>
  <si>
    <t>Weighting approaches and and corresponding General Weighting Factors (GWF)</t>
  </si>
  <si>
    <t>Company E</t>
  </si>
  <si>
    <t xml:space="preserve">Selecting the weighting approach </t>
  </si>
  <si>
    <t>Electricity production (MWh)</t>
  </si>
  <si>
    <t>Comparison with PCAF-based metrics</t>
  </si>
  <si>
    <t>Results</t>
  </si>
  <si>
    <t>Structural changes</t>
  </si>
  <si>
    <t>Emissions weight</t>
  </si>
  <si>
    <r>
      <t>CPEP</t>
    </r>
    <r>
      <rPr>
        <sz val="11"/>
        <color theme="1"/>
        <rFont val="Calibri"/>
        <family val="2"/>
        <scheme val="minor"/>
      </rPr>
      <t xml:space="preserve"> </t>
    </r>
  </si>
  <si>
    <t>Value</t>
  </si>
  <si>
    <t>Base year</t>
  </si>
  <si>
    <t>Target year</t>
  </si>
  <si>
    <t>Reporting year</t>
  </si>
  <si>
    <t>Annual CPEP results</t>
  </si>
  <si>
    <t>2020
(base year)</t>
  </si>
  <si>
    <t>2030
(target year)</t>
  </si>
  <si>
    <r>
      <t>Reference climate scenario (</t>
    </r>
    <r>
      <rPr>
        <sz val="11"/>
        <color theme="1"/>
        <rFont val="Calibri"/>
        <family val="2"/>
        <scheme val="minor"/>
      </rPr>
      <t>theoretical example)</t>
    </r>
  </si>
  <si>
    <t>Decarbonisation trajectory</t>
  </si>
  <si>
    <t>Decarbonisation trajectory (2020-2030)</t>
  </si>
  <si>
    <t>Portfolio data</t>
  </si>
  <si>
    <t>Company data - Electricity production</t>
  </si>
  <si>
    <t xml:space="preserve">Company data - GHG emissions </t>
  </si>
  <si>
    <t>Electricity production</t>
  </si>
  <si>
    <t>Balanced Approach (BA)</t>
  </si>
  <si>
    <t>Portfolio-centric Approach (PA)</t>
  </si>
  <si>
    <t>Emissions-based Approach (EA)</t>
  </si>
  <si>
    <t>Weighting approaches and corresponding General Weighting Factors (GWF)</t>
  </si>
  <si>
    <t xml:space="preserve">Selected weighting approach </t>
  </si>
  <si>
    <t>CPEP calculation - Combined Weighing Factors (CWFs)</t>
  </si>
  <si>
    <r>
      <t>CPEP</t>
    </r>
    <r>
      <rPr>
        <b/>
        <vertAlign val="subscript"/>
        <sz val="11"/>
        <color rgb="FFE5310E"/>
        <rFont val="Calibri"/>
        <family val="2"/>
        <scheme val="minor"/>
      </rPr>
      <t>electricity</t>
    </r>
    <r>
      <rPr>
        <b/>
        <sz val="11"/>
        <color rgb="FFE5310E"/>
        <rFont val="Calibri"/>
        <family val="2"/>
        <scheme val="minor"/>
      </rPr>
      <t xml:space="preserve"> calculation - Calculated Combined Weighing Factors (CWFs)</t>
    </r>
  </si>
  <si>
    <t>Portfolio weight 
(electricity sector)</t>
  </si>
  <si>
    <t>Emission weight 
(electricity sector)</t>
  </si>
  <si>
    <r>
      <t>KPIs: 
- CPEP: Corporate Investment Portfolio-related Emission Performance
- CPEP</t>
    </r>
    <r>
      <rPr>
        <b/>
        <vertAlign val="subscript"/>
        <sz val="11"/>
        <color theme="1"/>
        <rFont val="Calibri"/>
        <family val="2"/>
        <scheme val="minor"/>
      </rPr>
      <t>sector</t>
    </r>
    <r>
      <rPr>
        <b/>
        <sz val="11"/>
        <color theme="1"/>
        <rFont val="Calibri"/>
        <family val="2"/>
        <scheme val="minor"/>
      </rPr>
      <t>: Corporate Investment Portfolio-related Emission Intensity Performance (sector)</t>
    </r>
  </si>
  <si>
    <t>Non GHG-intensive sector</t>
  </si>
  <si>
    <t>Step 2 - Calculation of the Combined Weighting Factor (portfolio position level)</t>
  </si>
  <si>
    <t>Step 1 - Determination of the general weighting approach</t>
  </si>
  <si>
    <t>Step 3 - Calculation of the emission performance</t>
  </si>
  <si>
    <r>
      <t xml:space="preserve">Step 3.a - Calculation of the emission performance based on </t>
    </r>
    <r>
      <rPr>
        <b/>
        <u/>
        <sz val="11"/>
        <color theme="0"/>
        <rFont val="Calibri"/>
        <family val="2"/>
        <scheme val="minor"/>
      </rPr>
      <t>absolute emissions</t>
    </r>
  </si>
  <si>
    <r>
      <t>CPEP</t>
    </r>
    <r>
      <rPr>
        <b/>
        <vertAlign val="subscript"/>
        <sz val="11"/>
        <color rgb="FFE5310E"/>
        <rFont val="Calibri"/>
        <family val="2"/>
        <scheme val="minor"/>
      </rPr>
      <t>electricity</t>
    </r>
    <r>
      <rPr>
        <b/>
        <sz val="11"/>
        <color rgb="FFE5310E"/>
        <rFont val="Calibri"/>
        <family val="2"/>
        <scheme val="minor"/>
      </rPr>
      <t xml:space="preserve"> and portfolio-level emission intensities</t>
    </r>
  </si>
  <si>
    <t>Comparison of CPEP and development of PCAF-based financed emissions</t>
  </si>
  <si>
    <r>
      <t>Comparison of CPEP</t>
    </r>
    <r>
      <rPr>
        <b/>
        <vertAlign val="subscript"/>
        <sz val="11"/>
        <color theme="0"/>
        <rFont val="Calibri"/>
        <family val="2"/>
        <scheme val="minor"/>
      </rPr>
      <t>electricity</t>
    </r>
    <r>
      <rPr>
        <b/>
        <sz val="11"/>
        <color theme="0"/>
        <rFont val="Calibri"/>
        <family val="2"/>
        <scheme val="minor"/>
      </rPr>
      <t xml:space="preserve"> and PCAF-based physical emission intensities</t>
    </r>
  </si>
  <si>
    <r>
      <t>CPEP</t>
    </r>
    <r>
      <rPr>
        <b/>
        <vertAlign val="subscript"/>
        <sz val="11"/>
        <color rgb="FFE5310E"/>
        <rFont val="Calibri"/>
        <family val="2"/>
        <scheme val="minor"/>
      </rPr>
      <t>electricity</t>
    </r>
    <r>
      <rPr>
        <b/>
        <sz val="11"/>
        <color rgb="FFE5310E"/>
        <rFont val="Calibri"/>
        <family val="2"/>
        <scheme val="minor"/>
      </rPr>
      <t xml:space="preserve"> and PCAF comparison</t>
    </r>
  </si>
  <si>
    <r>
      <t>CPEP</t>
    </r>
    <r>
      <rPr>
        <vertAlign val="subscript"/>
        <sz val="11"/>
        <color theme="1"/>
        <rFont val="Calibri"/>
        <family val="2"/>
        <scheme val="minor"/>
      </rPr>
      <t>electricity</t>
    </r>
  </si>
  <si>
    <t>Contact:</t>
  </si>
  <si>
    <t xml:space="preserve">gf-alliance@umweltbundesamt.at </t>
  </si>
  <si>
    <t>About</t>
  </si>
  <si>
    <t>Contents</t>
  </si>
  <si>
    <t>Copyright</t>
  </si>
  <si>
    <t>Legal notice</t>
  </si>
  <si>
    <t>Company data - GHG emissions</t>
  </si>
  <si>
    <t>Company data - influencing factors causing changes in GHG emissions</t>
  </si>
  <si>
    <t>Change in methodology</t>
  </si>
  <si>
    <t>Other influencing factors</t>
  </si>
  <si>
    <t>CPEP and emission performances of portfolio companies</t>
  </si>
  <si>
    <t>Lower limit of emission performance</t>
  </si>
  <si>
    <t>Upper limit of emission performance</t>
  </si>
  <si>
    <t>Outlier?
(1=no outlier; 0=outlier)</t>
  </si>
  <si>
    <t xml:space="preserve">CWF </t>
  </si>
  <si>
    <t>CPEP and emission performances of portfolio companies (adjusted)</t>
  </si>
  <si>
    <t>Company data - GHG emissions (adjusted)</t>
  </si>
  <si>
    <t>KPIs: 
- CPEP: Corporate Investment Portfolio-related Emission Performance</t>
  </si>
  <si>
    <t>Scenario data - Absolute GHG emissions</t>
  </si>
  <si>
    <t>Progress data</t>
  </si>
  <si>
    <t>Decarbonisation trajectory (target value of annual reduction rate)</t>
  </si>
  <si>
    <t>Graphical illustration</t>
  </si>
  <si>
    <t>Scenario data</t>
  </si>
  <si>
    <t>Target and progress data</t>
  </si>
  <si>
    <t>Company data - Electricity production and EVIC</t>
  </si>
  <si>
    <r>
      <t>CPEP</t>
    </r>
    <r>
      <rPr>
        <b/>
        <i/>
        <vertAlign val="subscript"/>
        <sz val="11"/>
        <color theme="1"/>
        <rFont val="Calibri"/>
        <family val="2"/>
        <scheme val="minor"/>
      </rPr>
      <t>electricity</t>
    </r>
  </si>
  <si>
    <t>CPEP calculation step 1 - Determination of the general weighting approach</t>
  </si>
  <si>
    <t>CPEP calculation step 2 - Calculation of the Combined Weighting Factor (portfolio position level)</t>
  </si>
  <si>
    <t>CPEP calculation step 3 - Calculation of the emission performance</t>
  </si>
  <si>
    <r>
      <t xml:space="preserve">CPEP calculation step 3.a - Calculation of the emission performance based on </t>
    </r>
    <r>
      <rPr>
        <b/>
        <u/>
        <sz val="11"/>
        <color theme="0"/>
        <rFont val="Calibri"/>
        <family val="2"/>
        <scheme val="minor"/>
      </rPr>
      <t>absolute emissions</t>
    </r>
  </si>
  <si>
    <r>
      <t xml:space="preserve">CPEP calculation step 3.b - Calculation of the emission performance based on </t>
    </r>
    <r>
      <rPr>
        <b/>
        <u/>
        <sz val="11"/>
        <color theme="0"/>
        <rFont val="Calibri"/>
        <family val="2"/>
        <scheme val="minor"/>
      </rPr>
      <t>physical emission intensities</t>
    </r>
  </si>
  <si>
    <t>- General calculation method</t>
  </si>
  <si>
    <t>- PCAF comparison</t>
  </si>
  <si>
    <t>- Tracking progress</t>
  </si>
  <si>
    <r>
      <t xml:space="preserve">Sample calculation to illustrate how to track progress across accounting periods using I-PEPs. For this sample calculation, exemplary annual CPEP results are analysed and compared with a defined decarbonisation trajectory.
The sample calculations are presented and discussed in </t>
    </r>
    <r>
      <rPr>
        <b/>
        <i/>
        <sz val="11"/>
        <color theme="1"/>
        <rFont val="Calibri"/>
        <family val="2"/>
        <scheme val="minor"/>
      </rPr>
      <t>chapter 6.3.4</t>
    </r>
    <r>
      <rPr>
        <sz val="11"/>
        <color theme="1"/>
        <rFont val="Calibri"/>
        <family val="2"/>
        <scheme val="minor"/>
      </rPr>
      <t xml:space="preserve"> of the </t>
    </r>
    <r>
      <rPr>
        <b/>
        <i/>
        <sz val="11"/>
        <color theme="1"/>
        <rFont val="Calibri"/>
        <family val="2"/>
        <scheme val="minor"/>
      </rPr>
      <t>I-PEPs Methodology Standard (Draft for consultation)</t>
    </r>
    <r>
      <rPr>
        <sz val="11"/>
        <color theme="1"/>
        <rFont val="Calibri"/>
        <family val="2"/>
        <scheme val="minor"/>
      </rPr>
      <t>.</t>
    </r>
  </si>
  <si>
    <r>
      <t>Sample calculation comparing I-PEPs results for an exemplary corporate investment portfolio with PCAF-based metrics. Two comparisons are presented:
- CPEP and the development of PCAF-based financed emissions 
- CPEP</t>
    </r>
    <r>
      <rPr>
        <vertAlign val="subscript"/>
        <sz val="11"/>
        <color theme="1"/>
        <rFont val="Calibri"/>
        <family val="2"/>
        <scheme val="minor"/>
      </rPr>
      <t>electricity</t>
    </r>
    <r>
      <rPr>
        <sz val="11"/>
        <color theme="1"/>
        <rFont val="Calibri"/>
        <family val="2"/>
        <scheme val="minor"/>
      </rPr>
      <t xml:space="preserve"> and the development of PCAF-based emission intensity 
The sample calculations are presented and discussed in </t>
    </r>
    <r>
      <rPr>
        <b/>
        <i/>
        <sz val="11"/>
        <color theme="1"/>
        <rFont val="Calibri"/>
        <family val="2"/>
        <scheme val="minor"/>
      </rPr>
      <t>chapter 6.3.2</t>
    </r>
    <r>
      <rPr>
        <sz val="11"/>
        <color theme="1"/>
        <rFont val="Calibri"/>
        <family val="2"/>
        <scheme val="minor"/>
      </rPr>
      <t xml:space="preserve"> of the </t>
    </r>
    <r>
      <rPr>
        <b/>
        <i/>
        <sz val="11"/>
        <color theme="1"/>
        <rFont val="Calibri"/>
        <family val="2"/>
        <scheme val="minor"/>
      </rPr>
      <t>I-PEPs Methodology Standard (Draft for consultation)</t>
    </r>
    <r>
      <rPr>
        <sz val="11"/>
        <color theme="1"/>
        <rFont val="Calibri"/>
        <family val="2"/>
        <scheme val="minor"/>
      </rPr>
      <t>.</t>
    </r>
  </si>
  <si>
    <r>
      <t xml:space="preserve">Sample calculation for an exemplary corporate investment portfolio illustrating the general calculation method as described in </t>
    </r>
    <r>
      <rPr>
        <b/>
        <i/>
        <sz val="11"/>
        <color theme="1"/>
        <rFont val="Calibri"/>
        <family val="2"/>
        <scheme val="minor"/>
      </rPr>
      <t xml:space="preserve">chapter 2.2 </t>
    </r>
    <r>
      <rPr>
        <sz val="11"/>
        <color theme="1"/>
        <rFont val="Calibri"/>
        <family val="2"/>
        <scheme val="minor"/>
      </rPr>
      <t xml:space="preserve">of the </t>
    </r>
    <r>
      <rPr>
        <b/>
        <i/>
        <sz val="11"/>
        <color theme="1"/>
        <rFont val="Calibri"/>
        <family val="2"/>
        <scheme val="minor"/>
      </rPr>
      <t>I-PEPs Methodology Standard (Draft for consultation)</t>
    </r>
    <r>
      <rPr>
        <sz val="11"/>
        <color theme="1"/>
        <rFont val="Calibri"/>
        <family val="2"/>
        <scheme val="minor"/>
      </rPr>
      <t>. Two steering indicators are calculated:
- Corporate Investment Portfolio-related Emission Performance (CPEP)
- Corporate Investment Portfolio-related Emission Intensity Performance for the electricity production sector (CPEP</t>
    </r>
    <r>
      <rPr>
        <vertAlign val="subscript"/>
        <sz val="11"/>
        <color theme="1"/>
        <rFont val="Calibri"/>
        <family val="2"/>
        <scheme val="minor"/>
      </rPr>
      <t>electricity</t>
    </r>
    <r>
      <rPr>
        <sz val="11"/>
        <color theme="1"/>
        <rFont val="Calibri"/>
        <family val="2"/>
        <scheme val="minor"/>
      </rPr>
      <t xml:space="preserve">)
The sample calculations are presented and discussed in </t>
    </r>
    <r>
      <rPr>
        <b/>
        <i/>
        <sz val="11"/>
        <color theme="1"/>
        <rFont val="Calibri"/>
        <family val="2"/>
        <scheme val="minor"/>
      </rPr>
      <t xml:space="preserve">chapter 6.3.1 </t>
    </r>
    <r>
      <rPr>
        <sz val="11"/>
        <color theme="1"/>
        <rFont val="Calibri"/>
        <family val="2"/>
        <scheme val="minor"/>
      </rPr>
      <t xml:space="preserve">of the </t>
    </r>
    <r>
      <rPr>
        <b/>
        <i/>
        <sz val="11"/>
        <color theme="1"/>
        <rFont val="Calibri"/>
        <family val="2"/>
        <scheme val="minor"/>
      </rPr>
      <t>I-PEPs Methodology Standard (Draft for consultation)</t>
    </r>
    <r>
      <rPr>
        <sz val="11"/>
        <color theme="1"/>
        <rFont val="Calibri"/>
        <family val="2"/>
        <scheme val="minor"/>
      </rPr>
      <t>.</t>
    </r>
  </si>
  <si>
    <r>
      <t xml:space="preserve">This excel is part of the </t>
    </r>
    <r>
      <rPr>
        <b/>
        <i/>
        <sz val="11"/>
        <color theme="1"/>
        <rFont val="Calibri"/>
        <family val="2"/>
        <scheme val="minor"/>
      </rPr>
      <t>I-PEPs Methodology Standard (draft for consultation)</t>
    </r>
    <r>
      <rPr>
        <sz val="11"/>
        <color theme="1"/>
        <rFont val="Calibri"/>
        <family val="2"/>
        <scheme val="minor"/>
      </rPr>
      <t xml:space="preserve"> and contains the equations and sample calculations presented in the annex of the methodology standard (chapter </t>
    </r>
    <r>
      <rPr>
        <i/>
        <sz val="11"/>
        <color theme="1"/>
        <rFont val="Calibri"/>
        <family val="2"/>
        <scheme val="minor"/>
      </rPr>
      <t>6.3 Sample portfolio simulation</t>
    </r>
    <r>
      <rPr>
        <sz val="11"/>
        <color theme="1"/>
        <rFont val="Calibri"/>
        <family val="2"/>
        <scheme val="minor"/>
      </rPr>
      <t xml:space="preserve">).
The aim of this excel is to provide readers of the consultation version of the methodology standard a better understanding of the calculation approach behind the </t>
    </r>
    <r>
      <rPr>
        <b/>
        <i/>
        <sz val="11"/>
        <color theme="1"/>
        <rFont val="Calibri"/>
        <family val="2"/>
        <scheme val="minor"/>
      </rPr>
      <t>Indicators for Portfolio-related Emission Performance (I-PEPs)</t>
    </r>
    <r>
      <rPr>
        <sz val="11"/>
        <color theme="1"/>
        <rFont val="Calibri"/>
        <family val="2"/>
        <scheme val="minor"/>
      </rPr>
      <t xml:space="preserve"> and the impact of selected parameters on different steering indicators.</t>
    </r>
  </si>
  <si>
    <r>
      <t xml:space="preserve">All rights concerning I-PEPs remain with the BMLUK. Commercial use or distribution is not permitted. Excerpts may only be reprinted if the source </t>
    </r>
    <r>
      <rPr>
        <i/>
        <sz val="11"/>
        <color theme="1"/>
        <rFont val="Calibri"/>
        <family val="2"/>
        <scheme val="minor"/>
      </rPr>
      <t xml:space="preserve">Green Finance Alliance (2025). Indicators for Portfolio-related Emission Performance (I-PEPs) – Methodology Standard (draft for consultation). Environment Agency Austria (Editor) </t>
    </r>
    <r>
      <rPr>
        <sz val="11"/>
        <color theme="1"/>
        <rFont val="Calibri"/>
        <family val="2"/>
        <scheme val="minor"/>
      </rPr>
      <t>is acknowledged. All other uses are not permitted without the written consent of the BMLUK.</t>
    </r>
  </si>
  <si>
    <t>The Federal Ministry of Agriculture and Forestry, Climate and Environmental Protection, Regions and Water Management of the Republic of Austria (BMLUK) and the Environment Agency Austria tasked with coordination by the BMLUK will provide no financing services or associated advisory services and will com-plete no due diligence assessments under the Austrian Green Finance Alliance. Documents of the Green Finance Alliance shall not be construed as offers or recommendations for financial products or financial instruments. Despite being prepared with the greatest possible care, no guarantee is provided for the information in this publication, and any liability of the publisher and authors is expressly precluded. Any legal information provided is solely the non-binding opinion of the authors and has no influence whatsoever on the decisions of the independent courts.</t>
  </si>
  <si>
    <t>Investment volume</t>
  </si>
  <si>
    <r>
      <t>CPEP</t>
    </r>
    <r>
      <rPr>
        <b/>
        <vertAlign val="subscript"/>
        <sz val="11"/>
        <color rgb="FFE5310E"/>
        <rFont val="Calibri"/>
        <family val="2"/>
        <scheme val="minor"/>
      </rPr>
      <t>electricity</t>
    </r>
    <r>
      <rPr>
        <b/>
        <sz val="11"/>
        <color rgb="FFE5310E"/>
        <rFont val="Calibri"/>
        <family val="2"/>
        <scheme val="minor"/>
      </rPr>
      <t xml:space="preserve"> calculation -  Combined Weighing Factors (CWFs)</t>
    </r>
  </si>
  <si>
    <t>Portfolio positions</t>
  </si>
  <si>
    <r>
      <t xml:space="preserve">Step 3.b - Calculation of the emission performance based on </t>
    </r>
    <r>
      <rPr>
        <b/>
        <u/>
        <sz val="11"/>
        <color theme="0"/>
        <rFont val="Calibri"/>
        <family val="2"/>
        <scheme val="minor"/>
      </rPr>
      <t>physical emission intensities (sub-portfolio: electricity production)</t>
    </r>
  </si>
  <si>
    <r>
      <t>CPEP</t>
    </r>
    <r>
      <rPr>
        <b/>
        <vertAlign val="subscript"/>
        <sz val="11"/>
        <color rgb="FFE5310E"/>
        <rFont val="Calibri"/>
        <family val="2"/>
        <scheme val="minor"/>
      </rPr>
      <t>electricity</t>
    </r>
    <r>
      <rPr>
        <b/>
        <sz val="11"/>
        <color rgb="FFE5310E"/>
        <rFont val="Calibri"/>
        <family val="2"/>
        <scheme val="minor"/>
      </rPr>
      <t xml:space="preserve"> and sub-portfolio-level emission intensities</t>
    </r>
  </si>
  <si>
    <t>Sub-portfolio-level emission intensity</t>
  </si>
  <si>
    <t>CPEP and PCAF-based results comparison</t>
  </si>
  <si>
    <t>EVIC (in EUR)</t>
  </si>
  <si>
    <r>
      <t>Scope 1+2 (in tCO</t>
    </r>
    <r>
      <rPr>
        <b/>
        <vertAlign val="subscript"/>
        <sz val="11"/>
        <color theme="1"/>
        <rFont val="Calibri"/>
        <family val="2"/>
        <scheme val="minor"/>
      </rPr>
      <t>2</t>
    </r>
    <r>
      <rPr>
        <b/>
        <sz val="11"/>
        <color theme="1"/>
        <rFont val="Calibri"/>
        <family val="2"/>
        <scheme val="minor"/>
      </rPr>
      <t>eq)</t>
    </r>
  </si>
  <si>
    <r>
      <t>Physical emission intensity (tCO</t>
    </r>
    <r>
      <rPr>
        <vertAlign val="subscript"/>
        <sz val="11"/>
        <color theme="1"/>
        <rFont val="Calibri"/>
        <family val="2"/>
        <scheme val="minor"/>
      </rPr>
      <t>2</t>
    </r>
    <r>
      <rPr>
        <sz val="11"/>
        <color theme="1"/>
        <rFont val="Calibri"/>
        <family val="2"/>
        <scheme val="minor"/>
      </rPr>
      <t>eq/MWh)</t>
    </r>
  </si>
  <si>
    <r>
      <t>Absolute emissions (tCO</t>
    </r>
    <r>
      <rPr>
        <vertAlign val="subscript"/>
        <sz val="11"/>
        <color theme="1"/>
        <rFont val="Calibri"/>
        <family val="2"/>
        <scheme val="minor"/>
      </rPr>
      <t>2</t>
    </r>
    <r>
      <rPr>
        <sz val="11"/>
        <color theme="1"/>
        <rFont val="Calibri"/>
        <family val="2"/>
        <scheme val="minor"/>
      </rPr>
      <t>eq)</t>
    </r>
  </si>
  <si>
    <r>
      <t>PCAF-based financed emissions (tCO</t>
    </r>
    <r>
      <rPr>
        <vertAlign val="subscript"/>
        <sz val="11"/>
        <color theme="1"/>
        <rFont val="Calibri"/>
        <family val="2"/>
        <scheme val="minor"/>
      </rPr>
      <t>2</t>
    </r>
    <r>
      <rPr>
        <sz val="11"/>
        <color theme="1"/>
        <rFont val="Calibri"/>
        <family val="2"/>
        <scheme val="minor"/>
      </rPr>
      <t>eq)</t>
    </r>
  </si>
  <si>
    <t>PCAF-based financed emissions (tCO2eq)</t>
  </si>
  <si>
    <t>Emission intensity (tCO2eq/GWh)</t>
  </si>
  <si>
    <t>Portfolio-level emission intensity (tCO2eq/GWh)</t>
  </si>
  <si>
    <t xml:space="preserve">Additional input data to assess consistency </t>
  </si>
  <si>
    <r>
      <t>Absolute change in Scope 1+2 emissions (in tCO</t>
    </r>
    <r>
      <rPr>
        <b/>
        <vertAlign val="subscript"/>
        <sz val="11"/>
        <color theme="1"/>
        <rFont val="Calibri"/>
        <family val="2"/>
        <scheme val="minor"/>
      </rPr>
      <t>2</t>
    </r>
    <r>
      <rPr>
        <b/>
        <sz val="11"/>
        <color theme="1"/>
        <rFont val="Calibri"/>
        <family val="2"/>
        <scheme val="minor"/>
      </rPr>
      <t>eq)</t>
    </r>
  </si>
  <si>
    <t>Reference case - results without adjustment of inconsistent GHG emission developments</t>
  </si>
  <si>
    <t>Scenario 1: Required information on the consistency of GHG emission data across accounting periods is available</t>
  </si>
  <si>
    <t>Change in production</t>
  </si>
  <si>
    <t>Reduction measueres</t>
  </si>
  <si>
    <t>Total change</t>
  </si>
  <si>
    <t>Scenario 2: Required information on the consistency of GHG emission data across accounting periods is not available - use of a GHG emission fluctuation range</t>
  </si>
  <si>
    <t>Self-determination of the GHG emission fluctuation range</t>
  </si>
  <si>
    <t>General calculation method - see Chapter 2.2 (I-PEPs Methodology Standard draft)</t>
  </si>
  <si>
    <r>
      <t>Theoretical reference climate scenario: Net-zero emissions by 2050 (in MtCO</t>
    </r>
    <r>
      <rPr>
        <vertAlign val="subscript"/>
        <sz val="11"/>
        <color theme="1"/>
        <rFont val="Calibri"/>
        <family val="2"/>
        <scheme val="minor"/>
      </rPr>
      <t>2</t>
    </r>
    <r>
      <rPr>
        <sz val="11"/>
        <color theme="1"/>
        <rFont val="Calibri"/>
        <family val="2"/>
        <scheme val="minor"/>
      </rPr>
      <t>eq)</t>
    </r>
  </si>
  <si>
    <t>Tracking progress using I-PEPs - see Chapter 4.1 and 6.3.4 (I-PEPs Methodology Standard draft)</t>
  </si>
  <si>
    <t>Dealing with inconsistent emission performances - see Chapter 5.1.1 and 6.3.3 (I-PEPs Methodology Standard draft)</t>
  </si>
  <si>
    <t>I-PEPs comparison with PCAF-based metrics - see Chapter 5.2 and 6.3.2 (I-PEPs Methodology Standard draft)</t>
  </si>
  <si>
    <t>Annual CPEP results (exemplary values)</t>
  </si>
  <si>
    <t>Average CPEP result base year to reporting year (2020-2025)</t>
  </si>
  <si>
    <t>Average CPEP results (2020-2025)</t>
  </si>
  <si>
    <t>Decarbonisation trajectory for the remaining target period (2026-2030)</t>
  </si>
  <si>
    <t>2026-2030</t>
  </si>
  <si>
    <t>Adjusted decarbonisation trajectory for the remaining target period (2026-2030)</t>
  </si>
  <si>
    <t>- Dealing with inconsistency</t>
  </si>
  <si>
    <t>I-PEPs Calculation Spreadsheet – General calculation method</t>
  </si>
  <si>
    <t>I-PEPs Calculation Spreadsheet – I-PEPs comparison with PCAF-metrics</t>
  </si>
  <si>
    <t>I-PEPs Calculation Spreadsheet – Dealing with inconsistent emission performances</t>
  </si>
  <si>
    <t>I-PEPs Calculation Spreadsheet – Tracking progress using I-PEPs</t>
  </si>
  <si>
    <r>
      <t>--&gt; Expand hidden rows to see CPEP and CPEP</t>
    </r>
    <r>
      <rPr>
        <b/>
        <i/>
        <vertAlign val="subscript"/>
        <sz val="11"/>
        <color theme="1"/>
        <rFont val="Calibri"/>
        <family val="2"/>
        <scheme val="minor"/>
      </rPr>
      <t>electricity</t>
    </r>
    <r>
      <rPr>
        <b/>
        <i/>
        <sz val="11"/>
        <color theme="1"/>
        <rFont val="Calibri"/>
        <family val="2"/>
        <scheme val="minor"/>
      </rPr>
      <t xml:space="preserve"> calculation</t>
    </r>
  </si>
  <si>
    <r>
      <t xml:space="preserve">Sample calculation illustrating how to deal with inconsistent emission performances when calculating I-PEPs. Three approaches are presented using an exemplary corporate investment portfolio:
- Reference case: No adjustment for consistency of GHG emission data 
- Scenario 1: Required information on the consistency of GHG emission data across accounting periods is available
- Scenario 2: Required information on the consistency of GHG emission data across accounting periods is not available - use of a GHG emission fluctuation range
The sample calculations are presented and discussed in </t>
    </r>
    <r>
      <rPr>
        <b/>
        <i/>
        <sz val="11"/>
        <color theme="1"/>
        <rFont val="Calibri"/>
        <family val="2"/>
        <scheme val="minor"/>
      </rPr>
      <t>chapter 6.3.3</t>
    </r>
    <r>
      <rPr>
        <sz val="11"/>
        <color theme="1"/>
        <rFont val="Calibri"/>
        <family val="2"/>
        <scheme val="minor"/>
      </rPr>
      <t xml:space="preserve"> of the </t>
    </r>
    <r>
      <rPr>
        <b/>
        <i/>
        <sz val="11"/>
        <color theme="1"/>
        <rFont val="Calibri"/>
        <family val="2"/>
        <scheme val="minor"/>
      </rPr>
      <t>I-PEPs Methodology Standard (Draft for consultation)</t>
    </r>
    <r>
      <rPr>
        <sz val="11"/>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</si>
</sst>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 #,##0.00_-;\-&quot;€&quot;\ * #,##0.00_-;_-&quot;€&quot;\ * &quot;-&quot;??_-;_-@_-"/>
    <numFmt numFmtId="43" formatCode="_-* #,##0.00_-;\-* #,##0.00_-;_-* &quot;-&quot;??_-;_-@_-"/>
    <numFmt numFmtId="164" formatCode="_-* #,##0_-;\-* #,##0_-;_-* &quot;-&quot;??_-;_-@_-"/>
    <numFmt numFmtId="165" formatCode="0.0%"/>
    <numFmt numFmtId="166" formatCode="_-[$EUR]\ * #,##0_-;\-[$EUR]\ * #,##0_-;_-[$EUR]\ * &quot;-&quot;_-;_-@_-"/>
  </numFmts>
  <fonts count="21"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b/>
      <sz val="20"/>
      <color theme="1"/>
      <name val="Calibri"/>
      <family val="2"/>
      <scheme val="minor"/>
    </font>
    <font>
      <b/>
      <i/>
      <sz val="11"/>
      <color theme="1"/>
      <name val="Calibri"/>
      <family val="2"/>
      <scheme val="minor"/>
    </font>
    <font>
      <b/>
      <sz val="11"/>
      <color theme="0"/>
      <name val="Calibri"/>
      <family val="2"/>
      <scheme val="minor"/>
    </font>
    <font>
      <i/>
      <sz val="11"/>
      <color theme="1" tint="0.499984740745262"/>
      <name val="Calibri"/>
      <family val="2"/>
      <scheme val="minor"/>
    </font>
    <font>
      <b/>
      <sz val="11"/>
      <name val="Calibri"/>
      <family val="2"/>
      <scheme val="minor"/>
    </font>
    <font>
      <sz val="11"/>
      <name val="Calibri"/>
      <family val="2"/>
      <scheme val="minor"/>
    </font>
    <font>
      <b/>
      <sz val="11"/>
      <color rgb="FFE5310E"/>
      <name val="Calibri"/>
      <family val="2"/>
      <scheme val="minor"/>
    </font>
    <font>
      <sz val="11"/>
      <color rgb="FFE5310E"/>
      <name val="Calibri"/>
      <family val="2"/>
      <scheme val="minor"/>
    </font>
    <font>
      <b/>
      <i/>
      <sz val="11"/>
      <color theme="0"/>
      <name val="Calibri"/>
      <family val="2"/>
      <scheme val="minor"/>
    </font>
    <font>
      <vertAlign val="subscript"/>
      <sz val="11"/>
      <color theme="1"/>
      <name val="Calibri"/>
      <family val="2"/>
      <scheme val="minor"/>
    </font>
    <font>
      <b/>
      <vertAlign val="subscript"/>
      <sz val="11"/>
      <color theme="1"/>
      <name val="Calibri"/>
      <family val="2"/>
      <scheme val="minor"/>
    </font>
    <font>
      <b/>
      <u/>
      <sz val="11"/>
      <color theme="0"/>
      <name val="Calibri"/>
      <family val="2"/>
      <scheme val="minor"/>
    </font>
    <font>
      <b/>
      <vertAlign val="subscript"/>
      <sz val="11"/>
      <color rgb="FFE5310E"/>
      <name val="Calibri"/>
      <family val="2"/>
      <scheme val="minor"/>
    </font>
    <font>
      <i/>
      <sz val="11"/>
      <name val="Calibri"/>
      <family val="2"/>
      <scheme val="minor"/>
    </font>
    <font>
      <b/>
      <i/>
      <vertAlign val="subscript"/>
      <sz val="11"/>
      <color theme="1"/>
      <name val="Calibri"/>
      <family val="2"/>
      <scheme val="minor"/>
    </font>
    <font>
      <b/>
      <vertAlign val="subscript"/>
      <sz val="11"/>
      <color theme="0"/>
      <name val="Calibri"/>
      <family val="2"/>
      <scheme val="minor"/>
    </font>
    <font>
      <u/>
      <sz val="11"/>
      <color theme="10"/>
      <name val="Calibri"/>
      <family val="2"/>
      <scheme val="minor"/>
    </font>
  </fonts>
  <fills count="14">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1" tint="0.34998626667073579"/>
        <bgColor indexed="64"/>
      </patternFill>
    </fill>
    <fill>
      <patternFill patternType="solid">
        <fgColor theme="1" tint="0.499984740745262"/>
        <bgColor indexed="64"/>
      </patternFill>
    </fill>
    <fill>
      <patternFill patternType="lightUp">
        <bgColor theme="0" tint="-4.9989318521683403E-2"/>
      </patternFill>
    </fill>
    <fill>
      <patternFill patternType="solid">
        <fgColor rgb="FF0FAA6E"/>
        <bgColor indexed="64"/>
      </patternFill>
    </fill>
    <fill>
      <patternFill patternType="solid">
        <fgColor theme="3"/>
        <bgColor indexed="64"/>
      </patternFill>
    </fill>
    <fill>
      <patternFill patternType="solid">
        <fgColor theme="8" tint="-0.499984740745262"/>
        <bgColor indexed="64"/>
      </patternFill>
    </fill>
    <fill>
      <patternFill patternType="solid">
        <fgColor rgb="FF168E4D"/>
        <bgColor indexed="64"/>
      </patternFill>
    </fill>
    <fill>
      <patternFill patternType="solid">
        <fgColor theme="0" tint="-0.14999847407452621"/>
        <bgColor indexed="64"/>
      </patternFill>
    </fill>
    <fill>
      <patternFill patternType="solid">
        <fgColor theme="8" tint="0.79998168889431442"/>
        <bgColor indexed="64"/>
      </patternFill>
    </fill>
  </fills>
  <borders count="20">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20" fillId="0" borderId="0" applyNumberFormat="0" applyFill="0" applyBorder="0" applyAlignment="0" applyProtection="0"/>
  </cellStyleXfs>
  <cellXfs count="202">
    <xf numFmtId="0" fontId="0" fillId="0" borderId="0" xfId="0"/>
    <xf numFmtId="0" fontId="2" fillId="0" borderId="0" xfId="0" applyFont="1"/>
    <xf numFmtId="0" fontId="4" fillId="0" borderId="0" xfId="0" applyFont="1"/>
    <xf numFmtId="0" fontId="0" fillId="0" borderId="0" xfId="0" applyFill="1"/>
    <xf numFmtId="0" fontId="0" fillId="0" borderId="0" xfId="0" applyBorder="1"/>
    <xf numFmtId="0" fontId="0" fillId="4" borderId="1" xfId="0" applyFill="1" applyBorder="1"/>
    <xf numFmtId="0" fontId="0" fillId="4" borderId="2" xfId="0" applyFill="1" applyBorder="1"/>
    <xf numFmtId="0" fontId="2" fillId="2" borderId="7" xfId="0" applyFont="1" applyFill="1" applyBorder="1"/>
    <xf numFmtId="0" fontId="0" fillId="2" borderId="7" xfId="0" applyFill="1" applyBorder="1"/>
    <xf numFmtId="0" fontId="0" fillId="4" borderId="10" xfId="0" applyFill="1" applyBorder="1"/>
    <xf numFmtId="0" fontId="0" fillId="4" borderId="11" xfId="0" applyFill="1" applyBorder="1"/>
    <xf numFmtId="0" fontId="2" fillId="2" borderId="3" xfId="0" applyFont="1" applyFill="1" applyBorder="1" applyAlignment="1"/>
    <xf numFmtId="0" fontId="0" fillId="5" borderId="0" xfId="0" applyFill="1"/>
    <xf numFmtId="0" fontId="2" fillId="2" borderId="0" xfId="0" applyFont="1" applyFill="1" applyBorder="1" applyAlignment="1">
      <alignment horizontal="right"/>
    </xf>
    <xf numFmtId="0" fontId="2" fillId="2" borderId="3" xfId="0" applyFont="1" applyFill="1" applyBorder="1" applyAlignment="1">
      <alignment horizontal="right"/>
    </xf>
    <xf numFmtId="0" fontId="0" fillId="2" borderId="6" xfId="0" applyFill="1" applyBorder="1"/>
    <xf numFmtId="0" fontId="0" fillId="2" borderId="8" xfId="0" applyFill="1" applyBorder="1"/>
    <xf numFmtId="0" fontId="6" fillId="5" borderId="0" xfId="0" applyFont="1" applyFill="1" applyAlignment="1">
      <alignment vertical="center"/>
    </xf>
    <xf numFmtId="0" fontId="2" fillId="2" borderId="6" xfId="0" applyFont="1" applyFill="1" applyBorder="1"/>
    <xf numFmtId="0" fontId="2" fillId="4" borderId="9" xfId="0" applyFont="1" applyFill="1" applyBorder="1"/>
    <xf numFmtId="0" fontId="0" fillId="3" borderId="4" xfId="0" applyFill="1" applyBorder="1"/>
    <xf numFmtId="0" fontId="2" fillId="2" borderId="1" xfId="0" applyFont="1" applyFill="1" applyBorder="1" applyAlignment="1">
      <alignment horizontal="right"/>
    </xf>
    <xf numFmtId="0" fontId="2" fillId="2" borderId="2" xfId="0" applyFont="1" applyFill="1" applyBorder="1" applyAlignment="1">
      <alignment horizontal="right"/>
    </xf>
    <xf numFmtId="0" fontId="0" fillId="2" borderId="8" xfId="0" applyFill="1" applyBorder="1" applyAlignment="1">
      <alignment horizontal="left" vertical="center" wrapText="1"/>
    </xf>
    <xf numFmtId="0" fontId="0" fillId="2" borderId="7" xfId="0" applyFill="1" applyBorder="1" applyAlignment="1">
      <alignment vertical="center" wrapText="1"/>
    </xf>
    <xf numFmtId="2" fontId="0" fillId="2" borderId="0" xfId="0" applyNumberFormat="1" applyFill="1" applyBorder="1" applyAlignment="1">
      <alignment horizontal="right" vertical="center"/>
    </xf>
    <xf numFmtId="0" fontId="6" fillId="6" borderId="0" xfId="0" applyFont="1" applyFill="1" applyAlignment="1">
      <alignment vertical="center"/>
    </xf>
    <xf numFmtId="0" fontId="0" fillId="6" borderId="0" xfId="0" applyFill="1"/>
    <xf numFmtId="0" fontId="0" fillId="2" borderId="8" xfId="0" applyFill="1" applyBorder="1" applyAlignment="1">
      <alignment vertical="center"/>
    </xf>
    <xf numFmtId="43" fontId="0" fillId="3" borderId="0" xfId="3" applyFont="1" applyFill="1" applyBorder="1"/>
    <xf numFmtId="164" fontId="0" fillId="2" borderId="0" xfId="3" applyNumberFormat="1" applyFont="1" applyFill="1" applyBorder="1"/>
    <xf numFmtId="165" fontId="2" fillId="3" borderId="3" xfId="2" applyNumberFormat="1" applyFont="1" applyFill="1" applyBorder="1" applyAlignment="1">
      <alignment horizontal="right" vertical="center"/>
    </xf>
    <xf numFmtId="0" fontId="10" fillId="4" borderId="6" xfId="0" applyFont="1" applyFill="1" applyBorder="1"/>
    <xf numFmtId="10" fontId="0" fillId="0" borderId="0" xfId="2" applyNumberFormat="1" applyFont="1"/>
    <xf numFmtId="0" fontId="7" fillId="0" borderId="0" xfId="0" applyFont="1" applyBorder="1" applyAlignment="1">
      <alignment wrapText="1"/>
    </xf>
    <xf numFmtId="0" fontId="10" fillId="4" borderId="9" xfId="0" applyFont="1" applyFill="1" applyBorder="1" applyAlignment="1">
      <alignment vertical="center"/>
    </xf>
    <xf numFmtId="0" fontId="2" fillId="4" borderId="10" xfId="0" applyFont="1" applyFill="1" applyBorder="1" applyAlignment="1">
      <alignment vertical="center"/>
    </xf>
    <xf numFmtId="0" fontId="2" fillId="4" borderId="11" xfId="0" applyFont="1" applyFill="1" applyBorder="1" applyAlignment="1">
      <alignment vertical="center"/>
    </xf>
    <xf numFmtId="0" fontId="0" fillId="0" borderId="0" xfId="0" applyAlignment="1">
      <alignment vertical="center"/>
    </xf>
    <xf numFmtId="0" fontId="0" fillId="2" borderId="7" xfId="0" applyFill="1" applyBorder="1" applyAlignment="1">
      <alignment horizontal="left"/>
    </xf>
    <xf numFmtId="0" fontId="3" fillId="2" borderId="8" xfId="0" applyFont="1" applyFill="1" applyBorder="1" applyAlignment="1">
      <alignment horizontal="left"/>
    </xf>
    <xf numFmtId="0" fontId="10" fillId="4" borderId="6" xfId="0" applyFont="1" applyFill="1" applyBorder="1" applyAlignment="1">
      <alignment vertical="center"/>
    </xf>
    <xf numFmtId="164" fontId="0" fillId="2" borderId="3" xfId="3" applyNumberFormat="1" applyFont="1" applyFill="1" applyBorder="1"/>
    <xf numFmtId="164" fontId="3" fillId="2" borderId="4" xfId="3" applyNumberFormat="1" applyFont="1" applyFill="1" applyBorder="1"/>
    <xf numFmtId="164" fontId="3" fillId="2" borderId="5" xfId="3" applyNumberFormat="1" applyFont="1" applyFill="1" applyBorder="1"/>
    <xf numFmtId="0" fontId="0" fillId="2" borderId="0" xfId="0" applyFill="1" applyBorder="1" applyAlignment="1">
      <alignment horizontal="left"/>
    </xf>
    <xf numFmtId="0" fontId="2" fillId="2" borderId="0" xfId="0" applyFont="1" applyFill="1" applyBorder="1"/>
    <xf numFmtId="0" fontId="3" fillId="2" borderId="4" xfId="0" applyFont="1" applyFill="1" applyBorder="1" applyAlignment="1">
      <alignment horizontal="left"/>
    </xf>
    <xf numFmtId="0" fontId="10" fillId="2" borderId="7" xfId="0" applyFont="1" applyFill="1" applyBorder="1" applyAlignment="1">
      <alignment vertical="center"/>
    </xf>
    <xf numFmtId="0" fontId="2" fillId="4" borderId="10" xfId="0" applyFont="1" applyFill="1" applyBorder="1" applyAlignment="1"/>
    <xf numFmtId="0" fontId="2" fillId="4" borderId="11" xfId="0" applyFont="1" applyFill="1" applyBorder="1" applyAlignment="1"/>
    <xf numFmtId="0" fontId="2" fillId="2" borderId="1" xfId="0" applyFont="1" applyFill="1" applyBorder="1" applyAlignment="1"/>
    <xf numFmtId="0" fontId="2" fillId="2" borderId="2" xfId="0" applyFont="1" applyFill="1" applyBorder="1" applyAlignment="1"/>
    <xf numFmtId="0" fontId="2" fillId="2" borderId="3" xfId="0" applyFont="1" applyFill="1" applyBorder="1"/>
    <xf numFmtId="0" fontId="0" fillId="2" borderId="8" xfId="0" applyFill="1" applyBorder="1" applyAlignment="1">
      <alignment horizontal="left"/>
    </xf>
    <xf numFmtId="164" fontId="0" fillId="0" borderId="0" xfId="3" applyNumberFormat="1" applyFont="1" applyFill="1" applyBorder="1"/>
    <xf numFmtId="0" fontId="0" fillId="4" borderId="10" xfId="0" applyFill="1" applyBorder="1" applyAlignment="1">
      <alignment vertical="center"/>
    </xf>
    <xf numFmtId="165" fontId="0" fillId="3" borderId="3" xfId="2" applyNumberFormat="1" applyFont="1" applyFill="1" applyBorder="1"/>
    <xf numFmtId="0" fontId="2" fillId="2" borderId="0" xfId="0" applyFont="1" applyFill="1" applyBorder="1" applyAlignment="1">
      <alignment vertical="center"/>
    </xf>
    <xf numFmtId="43" fontId="0" fillId="3" borderId="3" xfId="3" applyFont="1" applyFill="1" applyBorder="1"/>
    <xf numFmtId="0" fontId="0" fillId="9" borderId="0" xfId="0" applyFill="1"/>
    <xf numFmtId="0" fontId="6" fillId="9" borderId="0" xfId="0" applyFont="1" applyFill="1" applyAlignment="1">
      <alignment vertical="center"/>
    </xf>
    <xf numFmtId="9" fontId="9" fillId="2" borderId="4" xfId="0" applyNumberFormat="1" applyFont="1" applyFill="1" applyBorder="1"/>
    <xf numFmtId="9" fontId="9" fillId="2" borderId="5" xfId="0" applyNumberFormat="1" applyFont="1" applyFill="1" applyBorder="1"/>
    <xf numFmtId="165" fontId="0" fillId="0" borderId="0" xfId="0" applyNumberFormat="1"/>
    <xf numFmtId="0" fontId="10" fillId="2" borderId="6" xfId="0" applyFont="1" applyFill="1" applyBorder="1" applyAlignment="1">
      <alignment vertical="center"/>
    </xf>
    <xf numFmtId="0" fontId="12" fillId="10" borderId="8" xfId="0" applyFont="1" applyFill="1" applyBorder="1"/>
    <xf numFmtId="0" fontId="2" fillId="4" borderId="1" xfId="0" applyFont="1" applyFill="1" applyBorder="1" applyAlignment="1">
      <alignment vertical="center"/>
    </xf>
    <xf numFmtId="0" fontId="2" fillId="4" borderId="2" xfId="0" applyFont="1" applyFill="1" applyBorder="1" applyAlignment="1">
      <alignment vertical="center"/>
    </xf>
    <xf numFmtId="164" fontId="0" fillId="7" borderId="4" xfId="3" applyNumberFormat="1" applyFont="1" applyFill="1" applyBorder="1"/>
    <xf numFmtId="0" fontId="2" fillId="2" borderId="0" xfId="0" applyFont="1" applyFill="1" applyBorder="1" applyAlignment="1">
      <alignment horizontal="center"/>
    </xf>
    <xf numFmtId="0" fontId="2" fillId="2" borderId="3" xfId="0" applyFont="1" applyFill="1" applyBorder="1" applyAlignment="1">
      <alignment horizontal="center"/>
    </xf>
    <xf numFmtId="0" fontId="5" fillId="2" borderId="8" xfId="0" applyFont="1" applyFill="1" applyBorder="1" applyAlignment="1">
      <alignment horizontal="left"/>
    </xf>
    <xf numFmtId="0" fontId="2" fillId="2" borderId="7" xfId="0" applyFont="1" applyFill="1" applyBorder="1" applyAlignment="1">
      <alignment vertical="center"/>
    </xf>
    <xf numFmtId="165" fontId="5" fillId="8" borderId="5" xfId="2" applyNumberFormat="1" applyFont="1" applyFill="1" applyBorder="1"/>
    <xf numFmtId="10" fontId="5" fillId="8" borderId="5" xfId="2" applyNumberFormat="1" applyFont="1" applyFill="1" applyBorder="1"/>
    <xf numFmtId="0" fontId="9" fillId="2" borderId="7" xfId="0" applyFont="1" applyFill="1" applyBorder="1"/>
    <xf numFmtId="9" fontId="9" fillId="2" borderId="3" xfId="0" applyNumberFormat="1" applyFont="1" applyFill="1" applyBorder="1"/>
    <xf numFmtId="0" fontId="9" fillId="2" borderId="8" xfId="0" applyFont="1" applyFill="1" applyBorder="1"/>
    <xf numFmtId="0" fontId="2" fillId="2" borderId="0" xfId="0" applyFont="1" applyFill="1" applyBorder="1" applyAlignment="1">
      <alignment horizontal="center"/>
    </xf>
    <xf numFmtId="164" fontId="0" fillId="0" borderId="0" xfId="0" applyNumberFormat="1" applyFill="1"/>
    <xf numFmtId="0" fontId="2" fillId="2" borderId="0"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 xfId="0" applyFont="1" applyFill="1" applyBorder="1" applyAlignment="1">
      <alignment horizontal="right" wrapText="1"/>
    </xf>
    <xf numFmtId="0" fontId="2" fillId="8" borderId="5" xfId="0" applyFont="1" applyFill="1" applyBorder="1"/>
    <xf numFmtId="0" fontId="10" fillId="4" borderId="9" xfId="0" applyFont="1" applyFill="1" applyBorder="1" applyAlignment="1"/>
    <xf numFmtId="164" fontId="0" fillId="3" borderId="0" xfId="0" applyNumberFormat="1" applyFill="1" applyBorder="1" applyAlignment="1">
      <alignment vertical="center"/>
    </xf>
    <xf numFmtId="0" fontId="0" fillId="2" borderId="7" xfId="0" applyFill="1" applyBorder="1" applyAlignment="1">
      <alignment vertical="center"/>
    </xf>
    <xf numFmtId="165" fontId="0" fillId="2" borderId="0" xfId="0" applyNumberFormat="1" applyFill="1" applyBorder="1"/>
    <xf numFmtId="165" fontId="0" fillId="2" borderId="5" xfId="0" applyNumberFormat="1" applyFill="1" applyBorder="1"/>
    <xf numFmtId="165" fontId="0" fillId="2" borderId="0" xfId="0" quotePrefix="1" applyNumberFormat="1" applyFill="1" applyBorder="1" applyAlignment="1">
      <alignment horizontal="right"/>
    </xf>
    <xf numFmtId="1" fontId="0" fillId="0" borderId="0" xfId="0" applyNumberFormat="1"/>
    <xf numFmtId="0" fontId="0" fillId="2" borderId="8" xfId="0" applyFill="1" applyBorder="1" applyAlignment="1">
      <alignment wrapText="1"/>
    </xf>
    <xf numFmtId="0" fontId="0" fillId="7" borderId="4" xfId="0" applyFill="1" applyBorder="1"/>
    <xf numFmtId="0" fontId="0" fillId="7" borderId="3" xfId="0" applyFill="1" applyBorder="1"/>
    <xf numFmtId="0" fontId="2" fillId="2" borderId="0" xfId="0" applyFont="1" applyFill="1" applyBorder="1" applyAlignment="1">
      <alignment horizontal="center" vertical="center"/>
    </xf>
    <xf numFmtId="0" fontId="2" fillId="2" borderId="3" xfId="0" applyFont="1" applyFill="1" applyBorder="1" applyAlignment="1">
      <alignment horizontal="center" vertical="center"/>
    </xf>
    <xf numFmtId="0" fontId="0" fillId="2" borderId="7" xfId="0" applyFont="1" applyFill="1" applyBorder="1"/>
    <xf numFmtId="164" fontId="0" fillId="2" borderId="0" xfId="3" applyNumberFormat="1" applyFont="1" applyFill="1" applyBorder="1" applyAlignment="1">
      <alignment horizontal="right"/>
    </xf>
    <xf numFmtId="164" fontId="0" fillId="2" borderId="3" xfId="3" applyNumberFormat="1" applyFont="1" applyFill="1" applyBorder="1" applyAlignment="1">
      <alignment horizontal="right"/>
    </xf>
    <xf numFmtId="43" fontId="0" fillId="2" borderId="4" xfId="3" applyFont="1" applyFill="1" applyBorder="1" applyAlignment="1">
      <alignment horizontal="right"/>
    </xf>
    <xf numFmtId="43" fontId="0" fillId="2" borderId="5" xfId="3" applyFont="1" applyFill="1" applyBorder="1" applyAlignment="1">
      <alignment horizontal="right"/>
    </xf>
    <xf numFmtId="164" fontId="3" fillId="2" borderId="4" xfId="3" applyNumberFormat="1" applyFont="1" applyFill="1" applyBorder="1" applyAlignment="1">
      <alignment horizontal="right"/>
    </xf>
    <xf numFmtId="164" fontId="3" fillId="2" borderId="5" xfId="3" applyNumberFormat="1" applyFont="1" applyFill="1" applyBorder="1" applyAlignment="1">
      <alignment horizontal="right"/>
    </xf>
    <xf numFmtId="9" fontId="9" fillId="2" borderId="0" xfId="0" applyNumberFormat="1" applyFont="1" applyFill="1" applyBorder="1" applyAlignment="1">
      <alignment horizontal="right"/>
    </xf>
    <xf numFmtId="9" fontId="9" fillId="2" borderId="3" xfId="0" applyNumberFormat="1" applyFont="1" applyFill="1" applyBorder="1" applyAlignment="1">
      <alignment horizontal="right"/>
    </xf>
    <xf numFmtId="9" fontId="9" fillId="2" borderId="4" xfId="0" applyNumberFormat="1" applyFont="1" applyFill="1" applyBorder="1" applyAlignment="1">
      <alignment horizontal="right"/>
    </xf>
    <xf numFmtId="9" fontId="9" fillId="2" borderId="5" xfId="0" applyNumberFormat="1" applyFont="1" applyFill="1" applyBorder="1" applyAlignment="1">
      <alignment horizontal="right"/>
    </xf>
    <xf numFmtId="0" fontId="0" fillId="2" borderId="7" xfId="0" applyFont="1" applyFill="1" applyBorder="1" applyAlignment="1">
      <alignment vertical="center"/>
    </xf>
    <xf numFmtId="0" fontId="0" fillId="2" borderId="8" xfId="0" applyFont="1" applyFill="1" applyBorder="1" applyAlignment="1">
      <alignment vertical="center" wrapText="1"/>
    </xf>
    <xf numFmtId="0" fontId="2" fillId="2" borderId="3" xfId="0" applyFont="1" applyFill="1" applyBorder="1" applyAlignment="1">
      <alignment horizontal="right" wrapText="1"/>
    </xf>
    <xf numFmtId="9" fontId="0" fillId="3" borderId="0" xfId="2" applyFont="1" applyFill="1" applyBorder="1" applyAlignment="1">
      <alignment horizontal="right"/>
    </xf>
    <xf numFmtId="165" fontId="0" fillId="3" borderId="0" xfId="2" applyNumberFormat="1" applyFont="1" applyFill="1" applyBorder="1" applyAlignment="1">
      <alignment horizontal="right"/>
    </xf>
    <xf numFmtId="10" fontId="9" fillId="3" borderId="3" xfId="2" applyNumberFormat="1" applyFont="1" applyFill="1" applyBorder="1" applyAlignment="1">
      <alignment horizontal="right"/>
    </xf>
    <xf numFmtId="165" fontId="3" fillId="2" borderId="4" xfId="2" applyNumberFormat="1" applyFont="1" applyFill="1" applyBorder="1" applyAlignment="1">
      <alignment horizontal="right"/>
    </xf>
    <xf numFmtId="10" fontId="17" fillId="2" borderId="5" xfId="2" applyNumberFormat="1" applyFont="1" applyFill="1" applyBorder="1" applyAlignment="1">
      <alignment horizontal="right"/>
    </xf>
    <xf numFmtId="0" fontId="2" fillId="2" borderId="0" xfId="0" applyFont="1" applyFill="1" applyBorder="1" applyAlignment="1">
      <alignment horizontal="right" wrapText="1"/>
    </xf>
    <xf numFmtId="164" fontId="0" fillId="7" borderId="0" xfId="3" applyNumberFormat="1" applyFont="1" applyFill="1" applyBorder="1" applyAlignment="1">
      <alignment horizontal="right"/>
    </xf>
    <xf numFmtId="164" fontId="0" fillId="7" borderId="3" xfId="3" applyNumberFormat="1" applyFont="1" applyFill="1" applyBorder="1" applyAlignment="1">
      <alignment horizontal="right"/>
    </xf>
    <xf numFmtId="165" fontId="9" fillId="3" borderId="3" xfId="2" applyNumberFormat="1" applyFont="1" applyFill="1" applyBorder="1" applyAlignment="1">
      <alignment horizontal="right"/>
    </xf>
    <xf numFmtId="0" fontId="0" fillId="2" borderId="8" xfId="0" applyFont="1" applyFill="1" applyBorder="1" applyAlignment="1">
      <alignment vertical="center"/>
    </xf>
    <xf numFmtId="164" fontId="9" fillId="2" borderId="0" xfId="3" applyNumberFormat="1" applyFont="1" applyFill="1" applyBorder="1" applyAlignment="1">
      <alignment horizontal="right"/>
    </xf>
    <xf numFmtId="164" fontId="1" fillId="2" borderId="0" xfId="3" applyNumberFormat="1" applyFont="1" applyFill="1" applyBorder="1" applyAlignment="1">
      <alignment horizontal="right"/>
    </xf>
    <xf numFmtId="164" fontId="0" fillId="2" borderId="0" xfId="0" applyNumberFormat="1" applyFont="1" applyFill="1" applyBorder="1" applyAlignment="1">
      <alignment horizontal="right"/>
    </xf>
    <xf numFmtId="164" fontId="0" fillId="2" borderId="3" xfId="0" applyNumberFormat="1" applyFont="1" applyFill="1" applyBorder="1" applyAlignment="1">
      <alignment horizontal="right"/>
    </xf>
    <xf numFmtId="43" fontId="0" fillId="7" borderId="4" xfId="3" applyNumberFormat="1" applyFont="1" applyFill="1" applyBorder="1" applyAlignment="1">
      <alignment horizontal="right"/>
    </xf>
    <xf numFmtId="43" fontId="0" fillId="2" borderId="4" xfId="3" applyNumberFormat="1" applyFont="1" applyFill="1" applyBorder="1" applyAlignment="1">
      <alignment horizontal="right"/>
    </xf>
    <xf numFmtId="43" fontId="1" fillId="2" borderId="5" xfId="3" applyNumberFormat="1" applyFont="1" applyFill="1" applyBorder="1" applyAlignment="1">
      <alignment horizontal="right"/>
    </xf>
    <xf numFmtId="0" fontId="9" fillId="0" borderId="0" xfId="4" applyFont="1"/>
    <xf numFmtId="0" fontId="0" fillId="11" borderId="12" xfId="0" applyFill="1" applyBorder="1"/>
    <xf numFmtId="0" fontId="0" fillId="2" borderId="0" xfId="0" quotePrefix="1" applyFill="1" applyBorder="1" applyAlignment="1">
      <alignment vertical="center"/>
    </xf>
    <xf numFmtId="0" fontId="0" fillId="2" borderId="13" xfId="0" applyFill="1" applyBorder="1" applyAlignment="1">
      <alignment vertical="center" wrapText="1"/>
    </xf>
    <xf numFmtId="0" fontId="0" fillId="2" borderId="0" xfId="0" quotePrefix="1" applyFill="1" applyBorder="1" applyAlignment="1">
      <alignment vertical="center" wrapText="1"/>
    </xf>
    <xf numFmtId="0" fontId="12" fillId="10" borderId="8" xfId="0" applyFont="1" applyFill="1" applyBorder="1" applyAlignment="1">
      <alignment vertical="center"/>
    </xf>
    <xf numFmtId="0" fontId="2" fillId="2" borderId="0" xfId="0" applyFont="1" applyFill="1" applyBorder="1" applyAlignment="1">
      <alignment horizontal="right" vertical="center"/>
    </xf>
    <xf numFmtId="0" fontId="2" fillId="2" borderId="3" xfId="0" applyFont="1" applyFill="1" applyBorder="1" applyAlignment="1">
      <alignment horizontal="right" vertical="center"/>
    </xf>
    <xf numFmtId="9" fontId="9" fillId="2" borderId="4" xfId="0" applyNumberFormat="1" applyFont="1" applyFill="1" applyBorder="1" applyAlignment="1">
      <alignment horizontal="right" vertical="center"/>
    </xf>
    <xf numFmtId="9" fontId="9" fillId="2" borderId="5" xfId="0" applyNumberFormat="1" applyFont="1" applyFill="1" applyBorder="1" applyAlignment="1">
      <alignment horizontal="right" vertical="center"/>
    </xf>
    <xf numFmtId="165" fontId="0" fillId="3" borderId="0" xfId="0" applyNumberFormat="1" applyFill="1" applyBorder="1" applyAlignment="1">
      <alignment horizontal="right"/>
    </xf>
    <xf numFmtId="165" fontId="0" fillId="3" borderId="3" xfId="2" applyNumberFormat="1" applyFont="1" applyFill="1" applyBorder="1" applyAlignment="1">
      <alignment horizontal="right"/>
    </xf>
    <xf numFmtId="0" fontId="0" fillId="2" borderId="4" xfId="0" applyFill="1" applyBorder="1" applyAlignment="1">
      <alignment horizontal="right"/>
    </xf>
    <xf numFmtId="165" fontId="5" fillId="8" borderId="5" xfId="2" applyNumberFormat="1" applyFont="1" applyFill="1" applyBorder="1" applyAlignment="1">
      <alignment horizontal="right"/>
    </xf>
    <xf numFmtId="165" fontId="11" fillId="3" borderId="3" xfId="2" applyNumberFormat="1" applyFont="1" applyFill="1" applyBorder="1" applyAlignment="1">
      <alignment horizontal="right"/>
    </xf>
    <xf numFmtId="0" fontId="0" fillId="3" borderId="0" xfId="3" applyNumberFormat="1" applyFont="1" applyFill="1" applyBorder="1" applyAlignment="1">
      <alignment horizontal="right"/>
    </xf>
    <xf numFmtId="164" fontId="11" fillId="3" borderId="0" xfId="3" applyNumberFormat="1" applyFont="1" applyFill="1" applyBorder="1" applyAlignment="1">
      <alignment horizontal="right"/>
    </xf>
    <xf numFmtId="164" fontId="9" fillId="3" borderId="0" xfId="3" applyNumberFormat="1" applyFont="1" applyFill="1" applyBorder="1" applyAlignment="1">
      <alignment horizontal="right"/>
    </xf>
    <xf numFmtId="164" fontId="11" fillId="3" borderId="3" xfId="3" applyNumberFormat="1" applyFont="1" applyFill="1" applyBorder="1" applyAlignment="1">
      <alignment horizontal="right"/>
    </xf>
    <xf numFmtId="164" fontId="9" fillId="3" borderId="3" xfId="3" applyNumberFormat="1" applyFont="1" applyFill="1" applyBorder="1" applyAlignment="1">
      <alignment horizontal="right"/>
    </xf>
    <xf numFmtId="0" fontId="0" fillId="2" borderId="8" xfId="0" applyFill="1" applyBorder="1" applyAlignment="1">
      <alignment horizontal="left" wrapText="1"/>
    </xf>
    <xf numFmtId="0" fontId="0" fillId="2" borderId="3" xfId="3" applyNumberFormat="1" applyFont="1" applyFill="1" applyBorder="1" applyAlignment="1">
      <alignment horizontal="right"/>
    </xf>
    <xf numFmtId="165" fontId="2" fillId="3" borderId="5" xfId="2" applyNumberFormat="1" applyFont="1" applyFill="1" applyBorder="1" applyAlignment="1">
      <alignment horizontal="right"/>
    </xf>
    <xf numFmtId="165" fontId="0" fillId="2" borderId="4" xfId="0" quotePrefix="1" applyNumberFormat="1" applyFill="1" applyBorder="1" applyAlignment="1"/>
    <xf numFmtId="165" fontId="0" fillId="2" borderId="4" xfId="0" applyNumberFormat="1" applyFill="1" applyBorder="1" applyAlignment="1"/>
    <xf numFmtId="165" fontId="0" fillId="2" borderId="4" xfId="1" applyNumberFormat="1" applyFont="1" applyFill="1" applyBorder="1" applyAlignment="1"/>
    <xf numFmtId="165" fontId="2" fillId="8" borderId="5" xfId="2" applyNumberFormat="1" applyFont="1" applyFill="1" applyBorder="1" applyAlignment="1">
      <alignment horizontal="right"/>
    </xf>
    <xf numFmtId="165" fontId="2" fillId="8" borderId="3" xfId="1" applyNumberFormat="1" applyFont="1" applyFill="1" applyBorder="1" applyAlignment="1"/>
    <xf numFmtId="0" fontId="0" fillId="2" borderId="7" xfId="0" applyFill="1" applyBorder="1" applyAlignment="1">
      <alignment horizontal="left" wrapText="1"/>
    </xf>
    <xf numFmtId="165" fontId="0" fillId="2" borderId="5" xfId="1" applyNumberFormat="1" applyFont="1" applyFill="1" applyBorder="1" applyAlignment="1"/>
    <xf numFmtId="165" fontId="2" fillId="8" borderId="3" xfId="2" applyNumberFormat="1" applyFont="1" applyFill="1" applyBorder="1" applyAlignment="1">
      <alignment horizontal="right" vertical="center"/>
    </xf>
    <xf numFmtId="165" fontId="2" fillId="8" borderId="5" xfId="2" applyNumberFormat="1" applyFont="1" applyFill="1" applyBorder="1" applyAlignment="1">
      <alignment horizontal="right" vertical="center"/>
    </xf>
    <xf numFmtId="164" fontId="0" fillId="3" borderId="4" xfId="0" applyNumberFormat="1" applyFill="1" applyBorder="1" applyAlignment="1">
      <alignment vertical="center"/>
    </xf>
    <xf numFmtId="43" fontId="0" fillId="3" borderId="4" xfId="0" applyNumberFormat="1" applyFill="1" applyBorder="1" applyAlignment="1">
      <alignment vertical="center"/>
    </xf>
    <xf numFmtId="0" fontId="0" fillId="11" borderId="14" xfId="0" applyFill="1" applyBorder="1"/>
    <xf numFmtId="0" fontId="0" fillId="12" borderId="0" xfId="0" quotePrefix="1" applyFill="1" applyBorder="1" applyAlignment="1">
      <alignment vertical="center"/>
    </xf>
    <xf numFmtId="0" fontId="0" fillId="12" borderId="13" xfId="0" applyFill="1" applyBorder="1" applyAlignment="1">
      <alignment vertical="center" wrapText="1"/>
    </xf>
    <xf numFmtId="0" fontId="0" fillId="12" borderId="19" xfId="0" quotePrefix="1" applyFill="1" applyBorder="1" applyAlignment="1">
      <alignment vertical="center"/>
    </xf>
    <xf numFmtId="0" fontId="0" fillId="12" borderId="15" xfId="0" applyFill="1" applyBorder="1" applyAlignment="1">
      <alignment vertical="center" wrapText="1"/>
    </xf>
    <xf numFmtId="166" fontId="0" fillId="2" borderId="0" xfId="1" applyNumberFormat="1" applyFont="1" applyFill="1" applyBorder="1" applyAlignment="1">
      <alignment horizontal="right"/>
    </xf>
    <xf numFmtId="166" fontId="0" fillId="2" borderId="3" xfId="1" applyNumberFormat="1" applyFont="1" applyFill="1" applyBorder="1" applyAlignment="1">
      <alignment horizontal="right"/>
    </xf>
    <xf numFmtId="166" fontId="3" fillId="2" borderId="4" xfId="1" applyNumberFormat="1" applyFont="1" applyFill="1" applyBorder="1" applyAlignment="1">
      <alignment horizontal="right"/>
    </xf>
    <xf numFmtId="166" fontId="3" fillId="2" borderId="5" xfId="1" applyNumberFormat="1" applyFont="1" applyFill="1" applyBorder="1" applyAlignment="1">
      <alignment horizontal="right"/>
    </xf>
    <xf numFmtId="166" fontId="0" fillId="2" borderId="0" xfId="1" applyNumberFormat="1" applyFont="1" applyFill="1" applyBorder="1"/>
    <xf numFmtId="166" fontId="0" fillId="2" borderId="3" xfId="1" applyNumberFormat="1" applyFont="1" applyFill="1" applyBorder="1"/>
    <xf numFmtId="166" fontId="3" fillId="2" borderId="4" xfId="1" applyNumberFormat="1" applyFont="1" applyFill="1" applyBorder="1"/>
    <xf numFmtId="166" fontId="3" fillId="2" borderId="5" xfId="1" applyNumberFormat="1" applyFont="1" applyFill="1" applyBorder="1"/>
    <xf numFmtId="9" fontId="3" fillId="2" borderId="4" xfId="2" applyNumberFormat="1" applyFont="1" applyFill="1" applyBorder="1" applyAlignment="1">
      <alignment horizontal="right"/>
    </xf>
    <xf numFmtId="9" fontId="17" fillId="2" borderId="5" xfId="2" applyNumberFormat="1" applyFont="1" applyFill="1" applyBorder="1" applyAlignment="1">
      <alignment horizontal="right"/>
    </xf>
    <xf numFmtId="164" fontId="0" fillId="2" borderId="4" xfId="3" applyNumberFormat="1" applyFont="1" applyFill="1" applyBorder="1" applyAlignment="1"/>
    <xf numFmtId="164" fontId="0" fillId="2" borderId="5" xfId="3" applyNumberFormat="1" applyFont="1" applyFill="1" applyBorder="1" applyAlignment="1"/>
    <xf numFmtId="164" fontId="0" fillId="2" borderId="4" xfId="3" applyNumberFormat="1" applyFont="1" applyFill="1" applyBorder="1" applyAlignment="1">
      <alignment horizontal="right"/>
    </xf>
    <xf numFmtId="164" fontId="0" fillId="2" borderId="5" xfId="3" applyNumberFormat="1" applyFont="1" applyFill="1" applyBorder="1"/>
    <xf numFmtId="0" fontId="0" fillId="2" borderId="14" xfId="0" applyFill="1" applyBorder="1" applyAlignment="1">
      <alignment vertical="center" wrapText="1"/>
    </xf>
    <xf numFmtId="0" fontId="0" fillId="2" borderId="19" xfId="0" applyFill="1" applyBorder="1" applyAlignment="1">
      <alignment vertical="center" wrapText="1"/>
    </xf>
    <xf numFmtId="0" fontId="0" fillId="2" borderId="15" xfId="0" applyFill="1" applyBorder="1" applyAlignment="1">
      <alignment vertical="center" wrapText="1"/>
    </xf>
    <xf numFmtId="0" fontId="8" fillId="4" borderId="16" xfId="0" applyFont="1" applyFill="1" applyBorder="1" applyAlignment="1">
      <alignment horizontal="left"/>
    </xf>
    <xf numFmtId="0" fontId="8" fillId="4" borderId="17" xfId="0" applyFont="1" applyFill="1" applyBorder="1" applyAlignment="1">
      <alignment horizontal="left"/>
    </xf>
    <xf numFmtId="0" fontId="8" fillId="4" borderId="18" xfId="0" applyFont="1" applyFill="1" applyBorder="1" applyAlignment="1">
      <alignment horizontal="left"/>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3" xfId="0" applyFont="1" applyFill="1" applyBorder="1" applyAlignment="1">
      <alignment horizontal="center" vertical="center"/>
    </xf>
    <xf numFmtId="0" fontId="2" fillId="0" borderId="0" xfId="0" applyFont="1" applyAlignment="1">
      <alignment horizontal="left" vertical="center" wrapText="1"/>
    </xf>
    <xf numFmtId="0" fontId="2" fillId="2" borderId="1" xfId="0" applyFont="1" applyFill="1" applyBorder="1" applyAlignment="1">
      <alignment horizontal="center"/>
    </xf>
    <xf numFmtId="0" fontId="2" fillId="2" borderId="2" xfId="0" applyFont="1" applyFill="1" applyBorder="1" applyAlignment="1">
      <alignment horizontal="center"/>
    </xf>
    <xf numFmtId="0" fontId="3" fillId="0" borderId="0" xfId="0" applyFont="1" applyAlignment="1">
      <alignment horizontal="left" vertical="top"/>
    </xf>
    <xf numFmtId="0" fontId="0" fillId="13" borderId="0" xfId="0" applyFill="1"/>
    <xf numFmtId="0" fontId="0" fillId="13" borderId="0" xfId="0" applyFill="1" applyBorder="1"/>
    <xf numFmtId="0" fontId="5" fillId="13" borderId="0" xfId="0" quotePrefix="1" applyFont="1" applyFill="1" applyAlignment="1">
      <alignment horizontal="left" vertical="center" indent="1"/>
    </xf>
    <xf numFmtId="0" fontId="0" fillId="2" borderId="9" xfId="0" applyFill="1" applyBorder="1"/>
    <xf numFmtId="0" fontId="0" fillId="3" borderId="10" xfId="0" applyFill="1" applyBorder="1" applyAlignment="1">
      <alignment horizontal="left"/>
    </xf>
    <xf numFmtId="0" fontId="2" fillId="8" borderId="10" xfId="0" applyFont="1" applyFill="1" applyBorder="1" applyAlignment="1">
      <alignment horizontal="left"/>
    </xf>
    <xf numFmtId="0" fontId="2" fillId="8" borderId="11" xfId="0" applyFont="1" applyFill="1" applyBorder="1" applyAlignment="1">
      <alignment horizontal="left"/>
    </xf>
  </cellXfs>
  <cellStyles count="5">
    <cellStyle name="Komma" xfId="3" builtinId="3"/>
    <cellStyle name="Link" xfId="4" builtinId="8"/>
    <cellStyle name="Prozent" xfId="2" builtinId="5"/>
    <cellStyle name="Standard" xfId="0" builtinId="0"/>
    <cellStyle name="Währung" xfId="1" builtinId="4"/>
  </cellStyles>
  <dxfs count="0"/>
  <tableStyles count="0" defaultTableStyle="TableStyleMedium2" defaultPivotStyle="PivotStyleLight16"/>
  <colors>
    <mruColors>
      <color rgb="FF168E4D"/>
      <color rgb="FF0FAA6E"/>
      <color rgb="FFB74B2A"/>
      <color rgb="FFE5310E"/>
      <color rgb="FFE7E6E6"/>
      <color rgb="FF337774"/>
      <color rgb="FFB4C965"/>
      <color rgb="FF006837"/>
      <color rgb="FFF8F4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797807614240407"/>
          <c:y val="4.425735830846713E-2"/>
          <c:w val="0.85493641205069515"/>
          <c:h val="0.72131556330557578"/>
        </c:manualLayout>
      </c:layout>
      <c:lineChart>
        <c:grouping val="standard"/>
        <c:varyColors val="0"/>
        <c:ser>
          <c:idx val="0"/>
          <c:order val="0"/>
          <c:tx>
            <c:strRef>
              <c:f>'Tracking progress'!$B$68</c:f>
              <c:strCache>
                <c:ptCount val="1"/>
                <c:pt idx="0">
                  <c:v>Reference climate scenario (theoretical example)</c:v>
                </c:pt>
              </c:strCache>
            </c:strRef>
          </c:tx>
          <c:spPr>
            <a:ln w="28575" cap="rnd">
              <a:solidFill>
                <a:srgbClr val="B4C965"/>
              </a:solidFill>
              <a:round/>
            </a:ln>
            <a:effectLst/>
          </c:spPr>
          <c:marker>
            <c:symbol val="none"/>
          </c:marker>
          <c:cat>
            <c:strRef>
              <c:f>'Tracking progress'!$C$67:$I$67</c:f>
              <c:strCache>
                <c:ptCount val="7"/>
                <c:pt idx="0">
                  <c:v>2020
(base year)</c:v>
                </c:pt>
                <c:pt idx="1">
                  <c:v>2025</c:v>
                </c:pt>
                <c:pt idx="2">
                  <c:v>2030
(target year)</c:v>
                </c:pt>
                <c:pt idx="3">
                  <c:v>2035</c:v>
                </c:pt>
                <c:pt idx="4">
                  <c:v>2040</c:v>
                </c:pt>
                <c:pt idx="5">
                  <c:v>2045</c:v>
                </c:pt>
                <c:pt idx="6">
                  <c:v>2050</c:v>
                </c:pt>
              </c:strCache>
            </c:strRef>
          </c:cat>
          <c:val>
            <c:numRef>
              <c:f>'Tracking progress'!$C$68:$I$68</c:f>
              <c:numCache>
                <c:formatCode>_-* #\ ##0_-;\-* #\ ##0_-;_-* "-"??_-;_-@_-</c:formatCode>
                <c:ptCount val="7"/>
                <c:pt idx="0">
                  <c:v>30000</c:v>
                </c:pt>
                <c:pt idx="1">
                  <c:v>21000</c:v>
                </c:pt>
                <c:pt idx="2">
                  <c:v>14500</c:v>
                </c:pt>
                <c:pt idx="3">
                  <c:v>9000</c:v>
                </c:pt>
                <c:pt idx="4">
                  <c:v>5000</c:v>
                </c:pt>
                <c:pt idx="5">
                  <c:v>2500</c:v>
                </c:pt>
                <c:pt idx="6">
                  <c:v>0</c:v>
                </c:pt>
              </c:numCache>
            </c:numRef>
          </c:val>
          <c:smooth val="0"/>
          <c:extLst>
            <c:ext xmlns:c16="http://schemas.microsoft.com/office/drawing/2014/chart" uri="{C3380CC4-5D6E-409C-BE32-E72D297353CC}">
              <c16:uniqueId val="{00000000-D7BD-44C0-AE53-8CA7EAB2B266}"/>
            </c:ext>
          </c:extLst>
        </c:ser>
        <c:ser>
          <c:idx val="1"/>
          <c:order val="1"/>
          <c:tx>
            <c:strRef>
              <c:f>'Tracking progress'!$B$69</c:f>
              <c:strCache>
                <c:ptCount val="1"/>
                <c:pt idx="0">
                  <c:v>Decarbonisation trajectory</c:v>
                </c:pt>
              </c:strCache>
            </c:strRef>
          </c:tx>
          <c:spPr>
            <a:ln w="28575" cap="rnd">
              <a:solidFill>
                <a:srgbClr val="337774"/>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1-D7BD-44C0-AE53-8CA7EAB2B266}"/>
                </c:ext>
              </c:extLst>
            </c:dLbl>
            <c:dLbl>
              <c:idx val="1"/>
              <c:delete val="1"/>
              <c:extLst>
                <c:ext xmlns:c15="http://schemas.microsoft.com/office/drawing/2012/chart" uri="{CE6537A1-D6FC-4f65-9D91-7224C49458BB}"/>
                <c:ext xmlns:c16="http://schemas.microsoft.com/office/drawing/2014/chart" uri="{C3380CC4-5D6E-409C-BE32-E72D297353CC}">
                  <c16:uniqueId val="{00000002-D7BD-44C0-AE53-8CA7EAB2B266}"/>
                </c:ext>
              </c:extLst>
            </c:dLbl>
            <c:dLbl>
              <c:idx val="2"/>
              <c:delete val="1"/>
              <c:extLst>
                <c:ext xmlns:c15="http://schemas.microsoft.com/office/drawing/2012/chart" uri="{CE6537A1-D6FC-4f65-9D91-7224C49458BB}"/>
                <c:ext xmlns:c16="http://schemas.microsoft.com/office/drawing/2014/chart" uri="{C3380CC4-5D6E-409C-BE32-E72D297353CC}">
                  <c16:uniqueId val="{00000003-D7BD-44C0-AE53-8CA7EAB2B266}"/>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'Tracking progress'!$C$67:$I$67</c:f>
              <c:strCache>
                <c:ptCount val="7"/>
                <c:pt idx="0">
                  <c:v>2020
(base year)</c:v>
                </c:pt>
                <c:pt idx="1">
                  <c:v>2025</c:v>
                </c:pt>
                <c:pt idx="2">
                  <c:v>2030
(target year)</c:v>
                </c:pt>
                <c:pt idx="3">
                  <c:v>2035</c:v>
                </c:pt>
                <c:pt idx="4">
                  <c:v>2040</c:v>
                </c:pt>
                <c:pt idx="5">
                  <c:v>2045</c:v>
                </c:pt>
                <c:pt idx="6">
                  <c:v>2050</c:v>
                </c:pt>
              </c:strCache>
            </c:strRef>
          </c:cat>
          <c:val>
            <c:numRef>
              <c:f>'Tracking progress'!$C$69:$I$69</c:f>
              <c:numCache>
                <c:formatCode>_-* #\ ##0_-;\-* #\ ##0_-;_-* "-"??_-;_-@_-</c:formatCode>
                <c:ptCount val="7"/>
                <c:pt idx="0">
                  <c:v>30000</c:v>
                </c:pt>
                <c:pt idx="1">
                  <c:v>22250</c:v>
                </c:pt>
                <c:pt idx="2">
                  <c:v>14500</c:v>
                </c:pt>
              </c:numCache>
            </c:numRef>
          </c:val>
          <c:smooth val="0"/>
          <c:extLst>
            <c:ext xmlns:c16="http://schemas.microsoft.com/office/drawing/2014/chart" uri="{C3380CC4-5D6E-409C-BE32-E72D297353CC}">
              <c16:uniqueId val="{00000004-D7BD-44C0-AE53-8CA7EAB2B266}"/>
            </c:ext>
          </c:extLst>
        </c:ser>
        <c:dLbls>
          <c:showLegendKey val="0"/>
          <c:showVal val="0"/>
          <c:showCatName val="0"/>
          <c:showSerName val="0"/>
          <c:showPercent val="0"/>
          <c:showBubbleSize val="0"/>
        </c:dLbls>
        <c:smooth val="0"/>
        <c:axId val="541802696"/>
        <c:axId val="541804992"/>
      </c:lineChart>
      <c:catAx>
        <c:axId val="5418026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de-DE"/>
          </a:p>
        </c:txPr>
        <c:crossAx val="541804992"/>
        <c:crosses val="autoZero"/>
        <c:auto val="1"/>
        <c:lblAlgn val="ctr"/>
        <c:lblOffset val="100"/>
        <c:noMultiLvlLbl val="0"/>
      </c:catAx>
      <c:valAx>
        <c:axId val="5418049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r>
                  <a:rPr lang="de-AT" sz="1050"/>
                  <a:t>GHG</a:t>
                </a:r>
                <a:r>
                  <a:rPr lang="de-AT" sz="1050" baseline="0"/>
                  <a:t> e</a:t>
                </a:r>
                <a:r>
                  <a:rPr lang="de-AT" sz="1050"/>
                  <a:t>missions in MtCO</a:t>
                </a:r>
                <a:r>
                  <a:rPr lang="de-AT" sz="1050" baseline="-25000"/>
                  <a:t>2</a:t>
                </a:r>
                <a:r>
                  <a:rPr lang="de-AT" sz="1050" baseline="0"/>
                  <a:t>eq</a:t>
                </a:r>
              </a:p>
            </c:rich>
          </c:tx>
          <c:layout>
            <c:manualLayout>
              <c:xMode val="edge"/>
              <c:yMode val="edge"/>
              <c:x val="6.7065255275220084E-3"/>
              <c:y val="0.12792459446156543"/>
            </c:manualLayout>
          </c:layout>
          <c:overlay val="0"/>
          <c:spPr>
            <a:noFill/>
            <a:ln>
              <a:noFill/>
            </a:ln>
            <a:effectLst/>
          </c:spPr>
          <c:txPr>
            <a:bodyPr rot="-54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de-DE"/>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de-DE"/>
          </a:p>
        </c:txPr>
        <c:crossAx val="541802696"/>
        <c:crosses val="autoZero"/>
        <c:crossBetween val="between"/>
      </c:valAx>
      <c:spPr>
        <a:solidFill>
          <a:srgbClr val="F8F4F1"/>
        </a:solidFill>
        <a:ln>
          <a:noFill/>
        </a:ln>
        <a:effectLst/>
      </c:spPr>
    </c:plotArea>
    <c:legend>
      <c:legendPos val="b"/>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rgbClr val="F8F4F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057723158237357E-2"/>
          <c:y val="8.3617409863470132E-2"/>
          <c:w val="0.65328415587239608"/>
          <c:h val="0.86952280535447957"/>
        </c:manualLayout>
      </c:layout>
      <c:barChart>
        <c:barDir val="col"/>
        <c:grouping val="clustered"/>
        <c:varyColors val="0"/>
        <c:ser>
          <c:idx val="0"/>
          <c:order val="0"/>
          <c:tx>
            <c:strRef>
              <c:f>'Tracking progress'!$B$39</c:f>
              <c:strCache>
                <c:ptCount val="1"/>
                <c:pt idx="0">
                  <c:v>Annual CPEP results</c:v>
                </c:pt>
              </c:strCache>
            </c:strRef>
          </c:tx>
          <c:spPr>
            <a:solidFill>
              <a:srgbClr val="168E4D"/>
            </a:solidFill>
            <a:ln>
              <a:noFill/>
            </a:ln>
            <a:effectLst/>
          </c:spPr>
          <c:invertIfNegative val="0"/>
          <c:dLbls>
            <c:dLbl>
              <c:idx val="2"/>
              <c:layout>
                <c:manualLayout>
                  <c:x val="0"/>
                  <c:y val="5.3595332473736962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C6A-4E7C-8167-E508FFCE01DD}"/>
                </c:ext>
              </c:extLst>
            </c:dLbl>
            <c:dLbl>
              <c:idx val="4"/>
              <c:layout>
                <c:manualLayout>
                  <c:x val="0"/>
                  <c:y val="0.3982287574639263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C6A-4E7C-8167-E508FFCE01DD}"/>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bg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'Tracking progress'!$C$38:$H$38</c:f>
              <c:strCache>
                <c:ptCount val="6"/>
                <c:pt idx="0">
                  <c:v>2021</c:v>
                </c:pt>
                <c:pt idx="1">
                  <c:v>2022</c:v>
                </c:pt>
                <c:pt idx="2">
                  <c:v>2023</c:v>
                </c:pt>
                <c:pt idx="3">
                  <c:v>2024</c:v>
                </c:pt>
                <c:pt idx="4">
                  <c:v>2025</c:v>
                </c:pt>
                <c:pt idx="5">
                  <c:v>2026-2030</c:v>
                </c:pt>
              </c:strCache>
            </c:strRef>
          </c:cat>
          <c:val>
            <c:numRef>
              <c:f>'Tracking progress'!$C$39:$H$39</c:f>
              <c:numCache>
                <c:formatCode>0.0%</c:formatCode>
                <c:ptCount val="6"/>
                <c:pt idx="0">
                  <c:v>-3.5000000000000003E-2</c:v>
                </c:pt>
                <c:pt idx="1">
                  <c:v>-5.5E-2</c:v>
                </c:pt>
                <c:pt idx="2">
                  <c:v>5.0000000000000001E-3</c:v>
                </c:pt>
                <c:pt idx="3">
                  <c:v>-5.5E-2</c:v>
                </c:pt>
                <c:pt idx="4">
                  <c:v>-8.5000000000000006E-2</c:v>
                </c:pt>
              </c:numCache>
            </c:numRef>
          </c:val>
          <c:extLst>
            <c:ext xmlns:c16="http://schemas.microsoft.com/office/drawing/2014/chart" uri="{C3380CC4-5D6E-409C-BE32-E72D297353CC}">
              <c16:uniqueId val="{00000002-8C6A-4E7C-8167-E508FFCE01DD}"/>
            </c:ext>
          </c:extLst>
        </c:ser>
        <c:ser>
          <c:idx val="3"/>
          <c:order val="3"/>
          <c:tx>
            <c:strRef>
              <c:f>'Tracking progress'!$B$42</c:f>
              <c:strCache>
                <c:ptCount val="1"/>
                <c:pt idx="0">
                  <c:v>Decarbonisation trajectory for the remaining target period (2026-2030)</c:v>
                </c:pt>
              </c:strCache>
            </c:strRef>
          </c:tx>
          <c:spPr>
            <a:solidFill>
              <a:srgbClr val="B4C965"/>
            </a:solidFill>
            <a:ln>
              <a:solidFill>
                <a:schemeClr val="tx1">
                  <a:lumMod val="50000"/>
                  <a:lumOff val="50000"/>
                </a:schemeClr>
              </a:solidFill>
              <a:prstDash val="dash"/>
            </a:ln>
            <a:effectLst/>
          </c:spPr>
          <c:invertIfNegative val="0"/>
          <c:dLbls>
            <c:dLbl>
              <c:idx val="5"/>
              <c:layout>
                <c:manualLayout>
                  <c:x val="-6.2423939387064211E-4"/>
                  <c:y val="7.929857623520429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8C6A-4E7C-8167-E508FFCE01DD}"/>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'Tracking progress'!$C$38:$H$38</c:f>
              <c:strCache>
                <c:ptCount val="6"/>
                <c:pt idx="0">
                  <c:v>2021</c:v>
                </c:pt>
                <c:pt idx="1">
                  <c:v>2022</c:v>
                </c:pt>
                <c:pt idx="2">
                  <c:v>2023</c:v>
                </c:pt>
                <c:pt idx="3">
                  <c:v>2024</c:v>
                </c:pt>
                <c:pt idx="4">
                  <c:v>2025</c:v>
                </c:pt>
                <c:pt idx="5">
                  <c:v>2026-2030</c:v>
                </c:pt>
              </c:strCache>
            </c:strRef>
          </c:cat>
          <c:val>
            <c:numRef>
              <c:f>'Tracking progress'!$C$42:$H$42</c:f>
              <c:numCache>
                <c:formatCode>General</c:formatCode>
                <c:ptCount val="6"/>
                <c:pt idx="5" formatCode="0.0%">
                  <c:v>-9.5249558779711238E-2</c:v>
                </c:pt>
              </c:numCache>
            </c:numRef>
          </c:val>
          <c:extLst>
            <c:ext xmlns:c16="http://schemas.microsoft.com/office/drawing/2014/chart" uri="{C3380CC4-5D6E-409C-BE32-E72D297353CC}">
              <c16:uniqueId val="{00000004-8C6A-4E7C-8167-E508FFCE01DD}"/>
            </c:ext>
          </c:extLst>
        </c:ser>
        <c:dLbls>
          <c:showLegendKey val="0"/>
          <c:showVal val="0"/>
          <c:showCatName val="0"/>
          <c:showSerName val="0"/>
          <c:showPercent val="0"/>
          <c:showBubbleSize val="0"/>
        </c:dLbls>
        <c:gapWidth val="150"/>
        <c:overlap val="100"/>
        <c:axId val="393413752"/>
        <c:axId val="393414080"/>
      </c:barChart>
      <c:lineChart>
        <c:grouping val="standard"/>
        <c:varyColors val="0"/>
        <c:ser>
          <c:idx val="2"/>
          <c:order val="1"/>
          <c:tx>
            <c:strRef>
              <c:f>'Tracking progress'!$B$40</c:f>
              <c:strCache>
                <c:ptCount val="1"/>
                <c:pt idx="0">
                  <c:v>Average CPEP results (2020-2025)</c:v>
                </c:pt>
              </c:strCache>
            </c:strRef>
          </c:tx>
          <c:spPr>
            <a:ln w="28575" cap="rnd">
              <a:solidFill>
                <a:srgbClr val="168E4D"/>
              </a:solidFill>
              <a:prstDash val="dash"/>
              <a:round/>
            </a:ln>
            <a:effectLst/>
          </c:spPr>
          <c:marker>
            <c:symbol val="none"/>
          </c:marker>
          <c:dLbls>
            <c:dLbl>
              <c:idx val="0"/>
              <c:layout>
                <c:manualLayout>
                  <c:x val="-5.5287716211006581E-2"/>
                  <c:y val="-2.28521868373203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8C6A-4E7C-8167-E508FFCE01DD}"/>
                </c:ext>
              </c:extLst>
            </c:dLbl>
            <c:dLbl>
              <c:idx val="1"/>
              <c:delete val="1"/>
              <c:extLst>
                <c:ext xmlns:c15="http://schemas.microsoft.com/office/drawing/2012/chart" uri="{CE6537A1-D6FC-4f65-9D91-7224C49458BB}"/>
                <c:ext xmlns:c16="http://schemas.microsoft.com/office/drawing/2014/chart" uri="{C3380CC4-5D6E-409C-BE32-E72D297353CC}">
                  <c16:uniqueId val="{00000006-8C6A-4E7C-8167-E508FFCE01DD}"/>
                </c:ext>
              </c:extLst>
            </c:dLbl>
            <c:dLbl>
              <c:idx val="2"/>
              <c:delete val="1"/>
              <c:extLst>
                <c:ext xmlns:c15="http://schemas.microsoft.com/office/drawing/2012/chart" uri="{CE6537A1-D6FC-4f65-9D91-7224C49458BB}"/>
                <c:ext xmlns:c16="http://schemas.microsoft.com/office/drawing/2014/chart" uri="{C3380CC4-5D6E-409C-BE32-E72D297353CC}">
                  <c16:uniqueId val="{00000007-8C6A-4E7C-8167-E508FFCE01DD}"/>
                </c:ext>
              </c:extLst>
            </c:dLbl>
            <c:dLbl>
              <c:idx val="3"/>
              <c:delete val="1"/>
              <c:extLst>
                <c:ext xmlns:c15="http://schemas.microsoft.com/office/drawing/2012/chart" uri="{CE6537A1-D6FC-4f65-9D91-7224C49458BB}"/>
                <c:ext xmlns:c16="http://schemas.microsoft.com/office/drawing/2014/chart" uri="{C3380CC4-5D6E-409C-BE32-E72D297353CC}">
                  <c16:uniqueId val="{00000008-8C6A-4E7C-8167-E508FFCE01DD}"/>
                </c:ext>
              </c:extLst>
            </c:dLbl>
            <c:dLbl>
              <c:idx val="4"/>
              <c:delete val="1"/>
              <c:extLst>
                <c:ext xmlns:c15="http://schemas.microsoft.com/office/drawing/2012/chart" uri="{CE6537A1-D6FC-4f65-9D91-7224C49458BB}"/>
                <c:ext xmlns:c16="http://schemas.microsoft.com/office/drawing/2014/chart" uri="{C3380CC4-5D6E-409C-BE32-E72D297353CC}">
                  <c16:uniqueId val="{00000009-8C6A-4E7C-8167-E508FFCE01D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'Tracking progress'!$C$38:$H$38</c:f>
              <c:strCache>
                <c:ptCount val="6"/>
                <c:pt idx="0">
                  <c:v>2021</c:v>
                </c:pt>
                <c:pt idx="1">
                  <c:v>2022</c:v>
                </c:pt>
                <c:pt idx="2">
                  <c:v>2023</c:v>
                </c:pt>
                <c:pt idx="3">
                  <c:v>2024</c:v>
                </c:pt>
                <c:pt idx="4">
                  <c:v>2025</c:v>
                </c:pt>
                <c:pt idx="5">
                  <c:v>2026-2030</c:v>
                </c:pt>
              </c:strCache>
            </c:strRef>
          </c:cat>
          <c:val>
            <c:numRef>
              <c:f>'Tracking progress'!$C$40:$H$40</c:f>
              <c:numCache>
                <c:formatCode>0.0%</c:formatCode>
                <c:ptCount val="6"/>
                <c:pt idx="0">
                  <c:v>-4.4999999999999998E-2</c:v>
                </c:pt>
                <c:pt idx="1">
                  <c:v>-4.4999999999999998E-2</c:v>
                </c:pt>
                <c:pt idx="2">
                  <c:v>-4.4999999999999998E-2</c:v>
                </c:pt>
                <c:pt idx="3">
                  <c:v>-4.4999999999999998E-2</c:v>
                </c:pt>
                <c:pt idx="4">
                  <c:v>-4.4999999999999998E-2</c:v>
                </c:pt>
              </c:numCache>
            </c:numRef>
          </c:val>
          <c:smooth val="0"/>
          <c:extLst>
            <c:ext xmlns:c16="http://schemas.microsoft.com/office/drawing/2014/chart" uri="{C3380CC4-5D6E-409C-BE32-E72D297353CC}">
              <c16:uniqueId val="{0000000A-8C6A-4E7C-8167-E508FFCE01DD}"/>
            </c:ext>
          </c:extLst>
        </c:ser>
        <c:ser>
          <c:idx val="1"/>
          <c:order val="2"/>
          <c:tx>
            <c:strRef>
              <c:f>'Tracking progress'!$B$41</c:f>
              <c:strCache>
                <c:ptCount val="1"/>
                <c:pt idx="0">
                  <c:v>Decarbonisation trajectory (2020-2030)</c:v>
                </c:pt>
              </c:strCache>
            </c:strRef>
          </c:tx>
          <c:spPr>
            <a:ln w="28575" cap="rnd">
              <a:solidFill>
                <a:srgbClr val="337774"/>
              </a:solidFill>
              <a:round/>
            </a:ln>
            <a:effectLst/>
          </c:spPr>
          <c:marker>
            <c:symbol val="none"/>
          </c:marker>
          <c:dLbls>
            <c:dLbl>
              <c:idx val="0"/>
              <c:layout>
                <c:manualLayout>
                  <c:x val="-5.5287716211006581E-2"/>
                  <c:y val="-2.285218683732032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8C6A-4E7C-8167-E508FFCE01DD}"/>
                </c:ext>
              </c:extLst>
            </c:dLbl>
            <c:dLbl>
              <c:idx val="1"/>
              <c:delete val="1"/>
              <c:extLst>
                <c:ext xmlns:c15="http://schemas.microsoft.com/office/drawing/2012/chart" uri="{CE6537A1-D6FC-4f65-9D91-7224C49458BB}"/>
                <c:ext xmlns:c16="http://schemas.microsoft.com/office/drawing/2014/chart" uri="{C3380CC4-5D6E-409C-BE32-E72D297353CC}">
                  <c16:uniqueId val="{0000000C-8C6A-4E7C-8167-E508FFCE01DD}"/>
                </c:ext>
              </c:extLst>
            </c:dLbl>
            <c:dLbl>
              <c:idx val="2"/>
              <c:delete val="1"/>
              <c:extLst>
                <c:ext xmlns:c15="http://schemas.microsoft.com/office/drawing/2012/chart" uri="{CE6537A1-D6FC-4f65-9D91-7224C49458BB}"/>
                <c:ext xmlns:c16="http://schemas.microsoft.com/office/drawing/2014/chart" uri="{C3380CC4-5D6E-409C-BE32-E72D297353CC}">
                  <c16:uniqueId val="{0000000D-8C6A-4E7C-8167-E508FFCE01DD}"/>
                </c:ext>
              </c:extLst>
            </c:dLbl>
            <c:dLbl>
              <c:idx val="3"/>
              <c:delete val="1"/>
              <c:extLst>
                <c:ext xmlns:c15="http://schemas.microsoft.com/office/drawing/2012/chart" uri="{CE6537A1-D6FC-4f65-9D91-7224C49458BB}"/>
                <c:ext xmlns:c16="http://schemas.microsoft.com/office/drawing/2014/chart" uri="{C3380CC4-5D6E-409C-BE32-E72D297353CC}">
                  <c16:uniqueId val="{0000000E-8C6A-4E7C-8167-E508FFCE01DD}"/>
                </c:ext>
              </c:extLst>
            </c:dLbl>
            <c:dLbl>
              <c:idx val="4"/>
              <c:delete val="1"/>
              <c:extLst>
                <c:ext xmlns:c15="http://schemas.microsoft.com/office/drawing/2012/chart" uri="{CE6537A1-D6FC-4f65-9D91-7224C49458BB}"/>
                <c:ext xmlns:c16="http://schemas.microsoft.com/office/drawing/2014/chart" uri="{C3380CC4-5D6E-409C-BE32-E72D297353CC}">
                  <c16:uniqueId val="{0000000F-8C6A-4E7C-8167-E508FFCE01D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'Tracking progress'!$C$38:$H$38</c:f>
              <c:strCache>
                <c:ptCount val="6"/>
                <c:pt idx="0">
                  <c:v>2021</c:v>
                </c:pt>
                <c:pt idx="1">
                  <c:v>2022</c:v>
                </c:pt>
                <c:pt idx="2">
                  <c:v>2023</c:v>
                </c:pt>
                <c:pt idx="3">
                  <c:v>2024</c:v>
                </c:pt>
                <c:pt idx="4">
                  <c:v>2025</c:v>
                </c:pt>
                <c:pt idx="5">
                  <c:v>2026-2030</c:v>
                </c:pt>
              </c:strCache>
            </c:strRef>
          </c:cat>
          <c:val>
            <c:numRef>
              <c:f>'Tracking progress'!$C$41:$H$41</c:f>
              <c:numCache>
                <c:formatCode>0.0%</c:formatCode>
                <c:ptCount val="6"/>
                <c:pt idx="0">
                  <c:v>-7.0124779389855618E-2</c:v>
                </c:pt>
                <c:pt idx="1">
                  <c:v>-7.0124779389855618E-2</c:v>
                </c:pt>
                <c:pt idx="2">
                  <c:v>-7.0124779389855618E-2</c:v>
                </c:pt>
                <c:pt idx="3">
                  <c:v>-7.0124779389855618E-2</c:v>
                </c:pt>
                <c:pt idx="4">
                  <c:v>-7.0124779389855618E-2</c:v>
                </c:pt>
              </c:numCache>
            </c:numRef>
          </c:val>
          <c:smooth val="0"/>
          <c:extLst>
            <c:ext xmlns:c16="http://schemas.microsoft.com/office/drawing/2014/chart" uri="{C3380CC4-5D6E-409C-BE32-E72D297353CC}">
              <c16:uniqueId val="{00000010-8C6A-4E7C-8167-E508FFCE01DD}"/>
            </c:ext>
          </c:extLst>
        </c:ser>
        <c:dLbls>
          <c:showLegendKey val="0"/>
          <c:showVal val="1"/>
          <c:showCatName val="0"/>
          <c:showSerName val="0"/>
          <c:showPercent val="0"/>
          <c:showBubbleSize val="0"/>
        </c:dLbls>
        <c:marker val="1"/>
        <c:smooth val="0"/>
        <c:axId val="393413752"/>
        <c:axId val="393414080"/>
      </c:lineChart>
      <c:catAx>
        <c:axId val="393413752"/>
        <c:scaling>
          <c:orientation val="minMax"/>
        </c:scaling>
        <c:delete val="0"/>
        <c:axPos val="b"/>
        <c:numFmt formatCode="General" sourceLinked="1"/>
        <c:majorTickMark val="none"/>
        <c:minorTickMark val="none"/>
        <c:tickLblPos val="high"/>
        <c:spPr>
          <a:noFill/>
          <a:ln w="12700" cap="flat" cmpd="sng" algn="ctr">
            <a:solidFill>
              <a:schemeClr val="tx1">
                <a:lumMod val="50000"/>
                <a:lumOff val="50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de-DE"/>
          </a:p>
        </c:txPr>
        <c:crossAx val="393414080"/>
        <c:crosses val="autoZero"/>
        <c:auto val="1"/>
        <c:lblAlgn val="ctr"/>
        <c:lblOffset val="100"/>
        <c:noMultiLvlLbl val="0"/>
      </c:catAx>
      <c:valAx>
        <c:axId val="3934140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r>
                  <a:rPr lang="de-AT" sz="1050"/>
                  <a:t>Emission performance</a:t>
                </a:r>
              </a:p>
            </c:rich>
          </c:tx>
          <c:layout/>
          <c:overlay val="0"/>
          <c:spPr>
            <a:noFill/>
            <a:ln>
              <a:noFill/>
            </a:ln>
            <a:effectLst/>
          </c:spPr>
          <c:txPr>
            <a:bodyPr rot="-54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de-DE"/>
            </a:p>
          </c:txPr>
        </c:title>
        <c:numFmt formatCode="0.0\ %"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de-DE"/>
          </a:p>
        </c:txPr>
        <c:crossAx val="393413752"/>
        <c:crosses val="autoZero"/>
        <c:crossBetween val="between"/>
      </c:valAx>
      <c:spPr>
        <a:noFill/>
        <a:ln>
          <a:noFill/>
        </a:ln>
        <a:effectLst/>
      </c:spPr>
    </c:plotArea>
    <c:legend>
      <c:legendPos val="tr"/>
      <c:layout>
        <c:manualLayout>
          <c:xMode val="edge"/>
          <c:yMode val="edge"/>
          <c:x val="0.76885047497136405"/>
          <c:y val="0.1111367865771702"/>
          <c:w val="0.22950954291738535"/>
          <c:h val="0.78380022893576273"/>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Open Sans" panose="020B0606030504020204" pitchFamily="34" charset="0"/>
              <a:ea typeface="Open Sans" panose="020B0606030504020204" pitchFamily="34" charset="0"/>
              <a:cs typeface="Open Sans" panose="020B0606030504020204" pitchFamily="34" charset="0"/>
            </a:defRPr>
          </a:pPr>
          <a:endParaRPr lang="de-DE"/>
        </a:p>
      </c:txPr>
    </c:legend>
    <c:plotVisOnly val="1"/>
    <c:dispBlanksAs val="gap"/>
    <c:showDLblsOverMax val="0"/>
  </c:chart>
  <c:spPr>
    <a:solidFill>
      <a:srgbClr val="F8F4F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2393575</xdr:colOff>
      <xdr:row>6</xdr:row>
      <xdr:rowOff>53788</xdr:rowOff>
    </xdr:to>
    <xdr:pic>
      <xdr:nvPicPr>
        <xdr:cNvPr id="3" name="Grafik 2"/>
        <xdr:cNvPicPr>
          <a:picLocks noChangeAspect="1"/>
        </xdr:cNvPicPr>
      </xdr:nvPicPr>
      <xdr:blipFill rotWithShape="1">
        <a:blip xmlns:r="http://schemas.openxmlformats.org/officeDocument/2006/relationships" r:embed="rId1"/>
        <a:srcRect l="1507" t="2932" r="58022" b="4695"/>
        <a:stretch/>
      </xdr:blipFill>
      <xdr:spPr>
        <a:xfrm>
          <a:off x="0" y="0"/>
          <a:ext cx="5540187" cy="1129553"/>
        </a:xfrm>
        <a:prstGeom prst="rect">
          <a:avLst/>
        </a:prstGeom>
      </xdr:spPr>
    </xdr:pic>
    <xdr:clientData/>
  </xdr:twoCellAnchor>
  <xdr:twoCellAnchor editAs="oneCell">
    <xdr:from>
      <xdr:col>3</xdr:col>
      <xdr:colOff>2366682</xdr:colOff>
      <xdr:row>0</xdr:row>
      <xdr:rowOff>0</xdr:rowOff>
    </xdr:from>
    <xdr:to>
      <xdr:col>3</xdr:col>
      <xdr:colOff>4267200</xdr:colOff>
      <xdr:row>6</xdr:row>
      <xdr:rowOff>53788</xdr:rowOff>
    </xdr:to>
    <xdr:pic>
      <xdr:nvPicPr>
        <xdr:cNvPr id="4" name="Grafik 3"/>
        <xdr:cNvPicPr>
          <a:picLocks noChangeAspect="1"/>
        </xdr:cNvPicPr>
      </xdr:nvPicPr>
      <xdr:blipFill rotWithShape="1">
        <a:blip xmlns:r="http://schemas.openxmlformats.org/officeDocument/2006/relationships" r:embed="rId1"/>
        <a:srcRect l="84218" t="2932" r="1899" b="4695"/>
        <a:stretch/>
      </xdr:blipFill>
      <xdr:spPr>
        <a:xfrm>
          <a:off x="5513294" y="0"/>
          <a:ext cx="1900518" cy="11295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33759</xdr:colOff>
      <xdr:row>69</xdr:row>
      <xdr:rowOff>118639</xdr:rowOff>
    </xdr:from>
    <xdr:to>
      <xdr:col>4</xdr:col>
      <xdr:colOff>240194</xdr:colOff>
      <xdr:row>87</xdr:row>
      <xdr:rowOff>66261</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142877</xdr:colOff>
      <xdr:row>42</xdr:row>
      <xdr:rowOff>154081</xdr:rowOff>
    </xdr:from>
    <xdr:to>
      <xdr:col>6</xdr:col>
      <xdr:colOff>578827</xdr:colOff>
      <xdr:row>63</xdr:row>
      <xdr:rowOff>61347</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134469</xdr:colOff>
      <xdr:row>21</xdr:row>
      <xdr:rowOff>0</xdr:rowOff>
    </xdr:from>
    <xdr:to>
      <xdr:col>12</xdr:col>
      <xdr:colOff>457199</xdr:colOff>
      <xdr:row>23</xdr:row>
      <xdr:rowOff>176478</xdr:rowOff>
    </xdr:to>
    <xdr:sp macro="" textlink="">
      <xdr:nvSpPr>
        <xdr:cNvPr id="4" name="Rechteck 3"/>
        <xdr:cNvSpPr/>
      </xdr:nvSpPr>
      <xdr:spPr>
        <a:xfrm>
          <a:off x="10076328" y="4527176"/>
          <a:ext cx="4706471" cy="535067"/>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rtl="0" eaLnBrk="1" fontAlgn="auto" latinLnBrk="0" hangingPunct="1">
            <a:lnSpc>
              <a:spcPct val="100000"/>
            </a:lnSpc>
            <a:spcBef>
              <a:spcPts val="0"/>
            </a:spcBef>
            <a:spcAft>
              <a:spcPts val="0"/>
            </a:spcAft>
            <a:buClrTx/>
            <a:buSzTx/>
            <a:buFontTx/>
            <a:buNone/>
            <a:tabLst/>
            <a:defRPr/>
          </a:pPr>
          <a:r>
            <a:rPr lang="de-AT" b="0" i="1">
              <a:solidFill>
                <a:sysClr val="windowText" lastClr="000000"/>
              </a:solidFill>
              <a:effectLst/>
            </a:rPr>
            <a:t>The base year of</a:t>
          </a:r>
          <a:r>
            <a:rPr lang="de-AT" b="0" i="1" baseline="0">
              <a:solidFill>
                <a:sysClr val="windowText" lastClr="000000"/>
              </a:solidFill>
              <a:effectLst/>
            </a:rPr>
            <a:t> the target is used as reference year for calculating the first annual CPEP result. Therefore the first CPEP result is for 2021 (base year + 1).</a:t>
          </a:r>
          <a:endParaRPr lang="de-AT" b="0" i="1">
            <a:solidFill>
              <a:sysClr val="windowText" lastClr="000000"/>
            </a:solidFill>
            <a:effectLst/>
          </a:endParaRPr>
        </a:p>
      </xdr:txBody>
    </xdr:sp>
    <xdr:clientData/>
  </xdr:twoCellAnchor>
</xdr:wsDr>
</file>

<file path=xl/drawings/drawing3.xml><?xml version="1.0" encoding="utf-8"?>
<c:userShapes xmlns:c="http://schemas.openxmlformats.org/drawingml/2006/chart">
  <cdr:relSizeAnchor xmlns:cdr="http://schemas.openxmlformats.org/drawingml/2006/chartDrawing">
    <cdr:from>
      <cdr:x>0.19492</cdr:x>
      <cdr:y>0.05103</cdr:y>
    </cdr:from>
    <cdr:to>
      <cdr:x>0.19492</cdr:x>
      <cdr:y>0.76535</cdr:y>
    </cdr:to>
    <cdr:cxnSp macro="">
      <cdr:nvCxnSpPr>
        <cdr:cNvPr id="3" name="Gerader Verbinder 2"/>
        <cdr:cNvCxnSpPr/>
      </cdr:nvCxnSpPr>
      <cdr:spPr>
        <a:xfrm xmlns:a="http://schemas.openxmlformats.org/drawingml/2006/main">
          <a:off x="1094305" y="172312"/>
          <a:ext cx="0" cy="2412000"/>
        </a:xfrm>
        <a:prstGeom xmlns:a="http://schemas.openxmlformats.org/drawingml/2006/main" prst="line">
          <a:avLst/>
        </a:prstGeom>
        <a:ln xmlns:a="http://schemas.openxmlformats.org/drawingml/2006/main">
          <a:solidFill>
            <a:srgbClr val="337774"/>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0.44651</cdr:x>
      <cdr:y>0.05103</cdr:y>
    </cdr:from>
    <cdr:to>
      <cdr:x>0.44651</cdr:x>
      <cdr:y>0.76535</cdr:y>
    </cdr:to>
    <cdr:cxnSp macro="">
      <cdr:nvCxnSpPr>
        <cdr:cNvPr id="9" name="Gerader Verbinder 8"/>
        <cdr:cNvCxnSpPr/>
      </cdr:nvCxnSpPr>
      <cdr:spPr>
        <a:xfrm xmlns:a="http://schemas.openxmlformats.org/drawingml/2006/main">
          <a:off x="2506716" y="172312"/>
          <a:ext cx="0" cy="2412000"/>
        </a:xfrm>
        <a:prstGeom xmlns:a="http://schemas.openxmlformats.org/drawingml/2006/main" prst="line">
          <a:avLst/>
        </a:prstGeom>
        <a:ln xmlns:a="http://schemas.openxmlformats.org/drawingml/2006/main">
          <a:solidFill>
            <a:srgbClr val="337774"/>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0.17156</cdr:x>
      <cdr:y>0.16121</cdr:y>
    </cdr:from>
    <cdr:to>
      <cdr:x>0.48115</cdr:x>
      <cdr:y>0.3091</cdr:y>
    </cdr:to>
    <cdr:sp macro="" textlink="">
      <cdr:nvSpPr>
        <cdr:cNvPr id="10" name="Rechteck 9"/>
        <cdr:cNvSpPr/>
      </cdr:nvSpPr>
      <cdr:spPr>
        <a:xfrm xmlns:a="http://schemas.openxmlformats.org/drawingml/2006/main" rot="2284043">
          <a:off x="988705" y="518824"/>
          <a:ext cx="1784221" cy="475958"/>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pPr algn="ctr"/>
          <a:r>
            <a:rPr lang="de-DE" sz="1000">
              <a:solidFill>
                <a:srgbClr val="337774"/>
              </a:solidFill>
            </a:rPr>
            <a:t>Decarbonisation trajectory</a:t>
          </a:r>
        </a:p>
        <a:p xmlns:a="http://schemas.openxmlformats.org/drawingml/2006/main">
          <a:pPr algn="ctr"/>
          <a:r>
            <a:rPr lang="de-DE" sz="1000" b="1">
              <a:solidFill>
                <a:srgbClr val="337774"/>
              </a:solidFill>
            </a:rPr>
            <a:t>-7,0% per year</a:t>
          </a:r>
        </a:p>
      </cdr:txBody>
    </cdr:sp>
  </cdr:relSizeAnchor>
</c:userShape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gf-alliance@umweltbundesamt.a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7:D25"/>
  <sheetViews>
    <sheetView showGridLines="0" topLeftCell="A8" zoomScale="70" zoomScaleNormal="70" workbookViewId="0">
      <selection activeCell="G15" sqref="G15"/>
    </sheetView>
  </sheetViews>
  <sheetFormatPr baseColWidth="10" defaultRowHeight="14.4" x14ac:dyDescent="0.3"/>
  <cols>
    <col min="1" max="1" width="2.77734375" customWidth="1"/>
    <col min="3" max="3" width="31.44140625" customWidth="1"/>
    <col min="4" max="4" width="144.77734375" customWidth="1"/>
  </cols>
  <sheetData>
    <row r="7" spans="2:4" x14ac:dyDescent="0.3">
      <c r="B7" s="1" t="s">
        <v>67</v>
      </c>
      <c r="C7" s="128" t="s">
        <v>68</v>
      </c>
    </row>
    <row r="8" spans="2:4" ht="15" thickBot="1" x14ac:dyDescent="0.35"/>
    <row r="9" spans="2:4" x14ac:dyDescent="0.3">
      <c r="B9" s="184" t="s">
        <v>69</v>
      </c>
      <c r="C9" s="185"/>
      <c r="D9" s="186"/>
    </row>
    <row r="10" spans="2:4" ht="78" customHeight="1" thickBot="1" x14ac:dyDescent="0.35">
      <c r="B10" s="181" t="s">
        <v>104</v>
      </c>
      <c r="C10" s="182"/>
      <c r="D10" s="183"/>
    </row>
    <row r="12" spans="2:4" ht="15" thickBot="1" x14ac:dyDescent="0.35"/>
    <row r="13" spans="2:4" x14ac:dyDescent="0.3">
      <c r="B13" s="184" t="s">
        <v>70</v>
      </c>
      <c r="C13" s="185"/>
      <c r="D13" s="186"/>
    </row>
    <row r="14" spans="2:4" ht="87.6" x14ac:dyDescent="0.3">
      <c r="B14" s="129"/>
      <c r="C14" s="130" t="s">
        <v>98</v>
      </c>
      <c r="D14" s="131" t="s">
        <v>103</v>
      </c>
    </row>
    <row r="15" spans="2:4" ht="73.2" x14ac:dyDescent="0.3">
      <c r="B15" s="129"/>
      <c r="C15" s="163" t="s">
        <v>99</v>
      </c>
      <c r="D15" s="164" t="s">
        <v>102</v>
      </c>
    </row>
    <row r="16" spans="2:4" ht="100.8" x14ac:dyDescent="0.3">
      <c r="B16" s="129"/>
      <c r="C16" s="132" t="s">
        <v>142</v>
      </c>
      <c r="D16" s="131" t="s">
        <v>148</v>
      </c>
    </row>
    <row r="17" spans="2:4" ht="58.2" thickBot="1" x14ac:dyDescent="0.35">
      <c r="B17" s="162"/>
      <c r="C17" s="165" t="s">
        <v>100</v>
      </c>
      <c r="D17" s="166" t="s">
        <v>101</v>
      </c>
    </row>
    <row r="19" spans="2:4" ht="15" thickBot="1" x14ac:dyDescent="0.35"/>
    <row r="20" spans="2:4" x14ac:dyDescent="0.3">
      <c r="B20" s="184" t="s">
        <v>71</v>
      </c>
      <c r="C20" s="185"/>
      <c r="D20" s="186"/>
    </row>
    <row r="21" spans="2:4" ht="42.6" customHeight="1" thickBot="1" x14ac:dyDescent="0.35">
      <c r="B21" s="181" t="s">
        <v>105</v>
      </c>
      <c r="C21" s="182"/>
      <c r="D21" s="183"/>
    </row>
    <row r="23" spans="2:4" ht="15" thickBot="1" x14ac:dyDescent="0.35"/>
    <row r="24" spans="2:4" x14ac:dyDescent="0.3">
      <c r="B24" s="184" t="s">
        <v>72</v>
      </c>
      <c r="C24" s="185"/>
      <c r="D24" s="186"/>
    </row>
    <row r="25" spans="2:4" ht="74.55" customHeight="1" thickBot="1" x14ac:dyDescent="0.35">
      <c r="B25" s="181" t="s">
        <v>106</v>
      </c>
      <c r="C25" s="182"/>
      <c r="D25" s="183"/>
    </row>
  </sheetData>
  <mergeCells count="7">
    <mergeCell ref="B25:D25"/>
    <mergeCell ref="B9:D9"/>
    <mergeCell ref="B10:D10"/>
    <mergeCell ref="B13:D13"/>
    <mergeCell ref="B20:D20"/>
    <mergeCell ref="B21:D21"/>
    <mergeCell ref="B24:D24"/>
  </mergeCells>
  <hyperlinks>
    <hyperlink ref="C7" r:id="rId1"/>
  </hyperlinks>
  <pageMargins left="0.7" right="0.7" top="0.78740157499999996" bottom="0.78740157499999996"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68E4D"/>
  </sheetPr>
  <dimension ref="A1:M87"/>
  <sheetViews>
    <sheetView showGridLines="0" zoomScale="70" zoomScaleNormal="70" workbookViewId="0">
      <selection activeCell="B1" sqref="B1"/>
    </sheetView>
  </sheetViews>
  <sheetFormatPr baseColWidth="10" defaultRowHeight="14.4" x14ac:dyDescent="0.3"/>
  <cols>
    <col min="1" max="1" width="18.5546875" customWidth="1"/>
    <col min="2" max="2" width="42.44140625" customWidth="1"/>
    <col min="3" max="3" width="26.77734375" customWidth="1"/>
    <col min="4" max="4" width="25.21875" customWidth="1"/>
    <col min="5" max="5" width="30.5546875" customWidth="1"/>
    <col min="6" max="6" width="23.77734375" customWidth="1"/>
    <col min="7" max="7" width="22" style="4" customWidth="1"/>
    <col min="8" max="10" width="22" customWidth="1"/>
  </cols>
  <sheetData>
    <row r="1" spans="1:7" ht="25.8" x14ac:dyDescent="0.5">
      <c r="A1" s="3"/>
      <c r="B1" s="2" t="s">
        <v>143</v>
      </c>
      <c r="D1" s="3"/>
      <c r="E1" s="3"/>
      <c r="F1" s="3"/>
      <c r="G1"/>
    </row>
    <row r="2" spans="1:7" ht="51.6" customHeight="1" x14ac:dyDescent="0.3">
      <c r="A2" s="3"/>
      <c r="B2" s="191" t="s">
        <v>56</v>
      </c>
      <c r="C2" s="191"/>
      <c r="D2" s="191"/>
      <c r="E2" s="191"/>
      <c r="F2" s="3"/>
      <c r="G2"/>
    </row>
    <row r="3" spans="1:7" x14ac:dyDescent="0.3">
      <c r="A3" s="3"/>
      <c r="B3" s="1"/>
      <c r="D3" s="3"/>
      <c r="E3" s="3"/>
      <c r="F3" s="3"/>
      <c r="G3"/>
    </row>
    <row r="4" spans="1:7" x14ac:dyDescent="0.3">
      <c r="A4" s="3"/>
      <c r="B4" s="19" t="s">
        <v>6</v>
      </c>
      <c r="C4" s="9"/>
      <c r="D4" s="10"/>
      <c r="G4"/>
    </row>
    <row r="5" spans="1:7" x14ac:dyDescent="0.3">
      <c r="A5" s="3"/>
      <c r="B5" s="16" t="s">
        <v>7</v>
      </c>
      <c r="C5" s="20" t="s">
        <v>11</v>
      </c>
      <c r="D5" s="84" t="s">
        <v>12</v>
      </c>
      <c r="G5"/>
    </row>
    <row r="6" spans="1:7" x14ac:dyDescent="0.3">
      <c r="E6" s="3"/>
      <c r="F6" s="3"/>
      <c r="G6"/>
    </row>
    <row r="7" spans="1:7" s="60" customFormat="1" ht="22.95" customHeight="1" x14ac:dyDescent="0.3">
      <c r="B7" s="61" t="s">
        <v>131</v>
      </c>
    </row>
    <row r="8" spans="1:7" x14ac:dyDescent="0.3">
      <c r="E8" s="3"/>
      <c r="F8" s="3"/>
      <c r="G8"/>
    </row>
    <row r="9" spans="1:7" s="12" customFormat="1" ht="22.95" customHeight="1" x14ac:dyDescent="0.3">
      <c r="B9" s="17" t="s">
        <v>17</v>
      </c>
    </row>
    <row r="10" spans="1:7" x14ac:dyDescent="0.3">
      <c r="E10" s="3"/>
      <c r="F10" s="3"/>
      <c r="G10"/>
    </row>
    <row r="11" spans="1:7" ht="21" customHeight="1" x14ac:dyDescent="0.3">
      <c r="B11" s="35" t="s">
        <v>43</v>
      </c>
      <c r="C11" s="36"/>
      <c r="D11" s="36"/>
      <c r="E11" s="37"/>
      <c r="F11" s="3"/>
      <c r="G11"/>
    </row>
    <row r="12" spans="1:7" ht="21" customHeight="1" x14ac:dyDescent="0.3">
      <c r="B12" s="48"/>
      <c r="C12" s="58"/>
      <c r="D12" s="192" t="s">
        <v>107</v>
      </c>
      <c r="E12" s="193"/>
      <c r="F12" s="3"/>
      <c r="G12"/>
    </row>
    <row r="13" spans="1:7" x14ac:dyDescent="0.3">
      <c r="B13" s="7"/>
      <c r="C13" s="46" t="s">
        <v>19</v>
      </c>
      <c r="D13" s="13" t="s">
        <v>9</v>
      </c>
      <c r="E13" s="14" t="s">
        <v>8</v>
      </c>
      <c r="F13" s="3"/>
      <c r="G13"/>
    </row>
    <row r="14" spans="1:7" x14ac:dyDescent="0.3">
      <c r="B14" s="39" t="s">
        <v>0</v>
      </c>
      <c r="C14" s="45" t="s">
        <v>57</v>
      </c>
      <c r="D14" s="167">
        <v>3000000</v>
      </c>
      <c r="E14" s="168">
        <v>3000000</v>
      </c>
      <c r="F14" s="3"/>
      <c r="G14"/>
    </row>
    <row r="15" spans="1:7" x14ac:dyDescent="0.3">
      <c r="B15" s="39" t="s">
        <v>1</v>
      </c>
      <c r="C15" s="45" t="s">
        <v>57</v>
      </c>
      <c r="D15" s="167">
        <v>3000000</v>
      </c>
      <c r="E15" s="168">
        <v>3000000</v>
      </c>
      <c r="F15" s="3"/>
      <c r="G15"/>
    </row>
    <row r="16" spans="1:7" x14ac:dyDescent="0.3">
      <c r="B16" s="39" t="s">
        <v>2</v>
      </c>
      <c r="C16" s="45" t="s">
        <v>46</v>
      </c>
      <c r="D16" s="167">
        <v>2000000</v>
      </c>
      <c r="E16" s="168">
        <v>2000000</v>
      </c>
      <c r="F16" s="3"/>
      <c r="G16"/>
    </row>
    <row r="17" spans="2:10" x14ac:dyDescent="0.3">
      <c r="B17" s="39" t="s">
        <v>5</v>
      </c>
      <c r="C17" s="45" t="s">
        <v>46</v>
      </c>
      <c r="D17" s="167">
        <v>2000000</v>
      </c>
      <c r="E17" s="168">
        <v>2000000</v>
      </c>
      <c r="F17" s="3"/>
      <c r="G17"/>
    </row>
    <row r="18" spans="2:10" x14ac:dyDescent="0.3">
      <c r="B18" s="40" t="s">
        <v>4</v>
      </c>
      <c r="C18" s="47"/>
      <c r="D18" s="169">
        <f>SUM(D14:D17)</f>
        <v>10000000</v>
      </c>
      <c r="E18" s="170">
        <f>SUM(E14:E17)</f>
        <v>10000000</v>
      </c>
      <c r="F18" s="3"/>
      <c r="G18"/>
    </row>
    <row r="19" spans="2:10" x14ac:dyDescent="0.3">
      <c r="E19" s="3"/>
      <c r="F19" s="3"/>
      <c r="G19"/>
    </row>
    <row r="20" spans="2:10" ht="21" customHeight="1" x14ac:dyDescent="0.3">
      <c r="B20" s="35" t="s">
        <v>45</v>
      </c>
      <c r="C20" s="36"/>
      <c r="D20" s="37"/>
    </row>
    <row r="21" spans="2:10" ht="15.6" x14ac:dyDescent="0.3">
      <c r="B21" s="48"/>
      <c r="C21" s="187" t="s">
        <v>115</v>
      </c>
      <c r="D21" s="188"/>
    </row>
    <row r="22" spans="2:10" x14ac:dyDescent="0.3">
      <c r="B22" s="8"/>
      <c r="C22" s="13" t="s">
        <v>9</v>
      </c>
      <c r="D22" s="14" t="s">
        <v>8</v>
      </c>
    </row>
    <row r="23" spans="2:10" x14ac:dyDescent="0.3">
      <c r="B23" s="39" t="s">
        <v>0</v>
      </c>
      <c r="C23" s="98">
        <v>50000</v>
      </c>
      <c r="D23" s="99">
        <v>40000</v>
      </c>
    </row>
    <row r="24" spans="2:10" x14ac:dyDescent="0.3">
      <c r="B24" s="39" t="s">
        <v>1</v>
      </c>
      <c r="C24" s="98">
        <v>80000</v>
      </c>
      <c r="D24" s="99">
        <v>60000</v>
      </c>
    </row>
    <row r="25" spans="2:10" x14ac:dyDescent="0.3">
      <c r="B25" s="39" t="s">
        <v>2</v>
      </c>
      <c r="C25" s="98">
        <v>12000000</v>
      </c>
      <c r="D25" s="99">
        <v>12000000</v>
      </c>
    </row>
    <row r="26" spans="2:10" x14ac:dyDescent="0.3">
      <c r="B26" s="39" t="s">
        <v>5</v>
      </c>
      <c r="C26" s="98">
        <v>600000</v>
      </c>
      <c r="D26" s="99">
        <v>750000</v>
      </c>
    </row>
    <row r="27" spans="2:10" x14ac:dyDescent="0.3">
      <c r="B27" s="40" t="s">
        <v>4</v>
      </c>
      <c r="C27" s="102">
        <f>SUM(C23:C26)</f>
        <v>12730000</v>
      </c>
      <c r="D27" s="103">
        <f>SUM(D23:D26)</f>
        <v>12850000</v>
      </c>
    </row>
    <row r="28" spans="2:10" x14ac:dyDescent="0.3">
      <c r="E28" s="3"/>
      <c r="F28" s="3"/>
      <c r="G28"/>
      <c r="J28" s="55"/>
    </row>
    <row r="29" spans="2:10" x14ac:dyDescent="0.3">
      <c r="B29" s="35" t="s">
        <v>44</v>
      </c>
      <c r="C29" s="9"/>
      <c r="D29" s="9"/>
      <c r="E29" s="9"/>
      <c r="F29" s="10"/>
      <c r="G29"/>
      <c r="J29" s="55"/>
    </row>
    <row r="30" spans="2:10" x14ac:dyDescent="0.3">
      <c r="B30" s="15"/>
      <c r="C30" s="192" t="s">
        <v>2</v>
      </c>
      <c r="D30" s="192"/>
      <c r="E30" s="192" t="s">
        <v>5</v>
      </c>
      <c r="F30" s="193"/>
      <c r="G30"/>
      <c r="J30" s="55"/>
    </row>
    <row r="31" spans="2:10" x14ac:dyDescent="0.3">
      <c r="B31" s="8"/>
      <c r="C31" s="13" t="s">
        <v>9</v>
      </c>
      <c r="D31" s="13" t="s">
        <v>8</v>
      </c>
      <c r="E31" s="13" t="s">
        <v>9</v>
      </c>
      <c r="F31" s="14" t="s">
        <v>8</v>
      </c>
      <c r="G31"/>
      <c r="J31" s="55"/>
    </row>
    <row r="32" spans="2:10" x14ac:dyDescent="0.3">
      <c r="B32" s="108" t="s">
        <v>27</v>
      </c>
      <c r="C32" s="98">
        <v>15000000</v>
      </c>
      <c r="D32" s="98">
        <v>15000000</v>
      </c>
      <c r="E32" s="98">
        <v>3000000</v>
      </c>
      <c r="F32" s="99">
        <v>3000000</v>
      </c>
      <c r="G32"/>
      <c r="J32" s="55"/>
    </row>
    <row r="33" spans="2:10" ht="15.6" x14ac:dyDescent="0.3">
      <c r="B33" s="109" t="s">
        <v>116</v>
      </c>
      <c r="C33" s="100">
        <f>C25/C32</f>
        <v>0.8</v>
      </c>
      <c r="D33" s="100">
        <f>D25/D32</f>
        <v>0.8</v>
      </c>
      <c r="E33" s="100">
        <f>C26/E32</f>
        <v>0.2</v>
      </c>
      <c r="F33" s="101">
        <f>D26/F32</f>
        <v>0.25</v>
      </c>
      <c r="G33"/>
      <c r="J33" s="55"/>
    </row>
    <row r="34" spans="2:10" x14ac:dyDescent="0.3">
      <c r="E34" s="3"/>
      <c r="F34" s="3"/>
      <c r="G34"/>
      <c r="J34" s="55"/>
    </row>
    <row r="35" spans="2:10" x14ac:dyDescent="0.3">
      <c r="E35" s="3"/>
      <c r="F35" s="3"/>
      <c r="G35"/>
    </row>
    <row r="36" spans="2:10" s="12" customFormat="1" ht="22.95" customHeight="1" x14ac:dyDescent="0.3">
      <c r="B36" s="17" t="s">
        <v>59</v>
      </c>
    </row>
    <row r="37" spans="2:10" ht="13.95" customHeight="1" x14ac:dyDescent="0.3"/>
    <row r="38" spans="2:10" ht="18" customHeight="1" x14ac:dyDescent="0.3">
      <c r="B38" s="35" t="s">
        <v>50</v>
      </c>
      <c r="C38" s="49"/>
      <c r="D38" s="50"/>
    </row>
    <row r="39" spans="2:10" ht="17.25" customHeight="1" x14ac:dyDescent="0.35">
      <c r="B39" s="7"/>
      <c r="C39" s="13" t="s">
        <v>22</v>
      </c>
      <c r="D39" s="14" t="s">
        <v>23</v>
      </c>
      <c r="J39" s="34"/>
    </row>
    <row r="40" spans="2:10" ht="13.95" customHeight="1" x14ac:dyDescent="0.3">
      <c r="B40" s="76" t="s">
        <v>48</v>
      </c>
      <c r="C40" s="104">
        <v>0</v>
      </c>
      <c r="D40" s="105">
        <f>1-C40</f>
        <v>1</v>
      </c>
      <c r="J40" s="34"/>
    </row>
    <row r="41" spans="2:10" ht="13.95" customHeight="1" x14ac:dyDescent="0.3">
      <c r="B41" s="76" t="s">
        <v>47</v>
      </c>
      <c r="C41" s="104">
        <v>0.5</v>
      </c>
      <c r="D41" s="105">
        <f>1-C41</f>
        <v>0.5</v>
      </c>
      <c r="J41" s="34"/>
    </row>
    <row r="42" spans="2:10" ht="13.95" customHeight="1" x14ac:dyDescent="0.3">
      <c r="B42" s="78" t="s">
        <v>49</v>
      </c>
      <c r="C42" s="106">
        <v>1</v>
      </c>
      <c r="D42" s="107">
        <f>1-C42</f>
        <v>0</v>
      </c>
      <c r="I42" s="34"/>
      <c r="J42" s="34"/>
    </row>
    <row r="43" spans="2:10" ht="13.95" customHeight="1" x14ac:dyDescent="0.3"/>
    <row r="44" spans="2:10" ht="13.95" customHeight="1" x14ac:dyDescent="0.3">
      <c r="B44" s="85" t="s">
        <v>51</v>
      </c>
      <c r="C44" s="49"/>
      <c r="D44" s="50"/>
    </row>
    <row r="45" spans="2:10" ht="13.95" customHeight="1" x14ac:dyDescent="0.3">
      <c r="B45" s="73"/>
      <c r="C45" s="95" t="s">
        <v>22</v>
      </c>
      <c r="D45" s="96" t="s">
        <v>23</v>
      </c>
    </row>
    <row r="46" spans="2:10" ht="13.95" customHeight="1" x14ac:dyDescent="0.3">
      <c r="B46" s="66" t="s">
        <v>47</v>
      </c>
      <c r="C46" s="62">
        <f>VLOOKUP(B46,$B$40:$D$42,2,FALSE)</f>
        <v>0.5</v>
      </c>
      <c r="D46" s="63">
        <f>VLOOKUP(B46,$B$40:$D$42,3,FALSE)</f>
        <v>0.5</v>
      </c>
    </row>
    <row r="47" spans="2:10" ht="13.95" customHeight="1" x14ac:dyDescent="0.3"/>
    <row r="49" spans="2:13" s="12" customFormat="1" ht="22.95" customHeight="1" x14ac:dyDescent="0.3">
      <c r="B49" s="17" t="s">
        <v>58</v>
      </c>
    </row>
    <row r="51" spans="2:13" s="38" customFormat="1" ht="21.75" customHeight="1" x14ac:dyDescent="0.3">
      <c r="B51" s="35" t="s">
        <v>52</v>
      </c>
      <c r="C51" s="36"/>
      <c r="D51" s="36"/>
      <c r="E51" s="37"/>
      <c r="L51"/>
      <c r="M51"/>
    </row>
    <row r="52" spans="2:13" ht="36" customHeight="1" x14ac:dyDescent="0.3">
      <c r="B52" s="8"/>
      <c r="C52" s="13" t="s">
        <v>14</v>
      </c>
      <c r="D52" s="13" t="s">
        <v>31</v>
      </c>
      <c r="E52" s="110" t="s">
        <v>10</v>
      </c>
    </row>
    <row r="53" spans="2:13" x14ac:dyDescent="0.3">
      <c r="B53" s="39" t="s">
        <v>0</v>
      </c>
      <c r="C53" s="111">
        <f>E14/E$18</f>
        <v>0.3</v>
      </c>
      <c r="D53" s="112">
        <f>D23/D$27</f>
        <v>3.1128404669260703E-3</v>
      </c>
      <c r="E53" s="113">
        <f>(C53*$D$46)+(D53*$C$46)</f>
        <v>0.15155642023346302</v>
      </c>
    </row>
    <row r="54" spans="2:13" x14ac:dyDescent="0.3">
      <c r="B54" s="39" t="s">
        <v>1</v>
      </c>
      <c r="C54" s="111">
        <f>E15/E$18</f>
        <v>0.3</v>
      </c>
      <c r="D54" s="112">
        <f>D24/D$27</f>
        <v>4.6692607003891049E-3</v>
      </c>
      <c r="E54" s="113">
        <f t="shared" ref="E54:E56" si="0">(C54*$D$46)+(D54*$C$46)</f>
        <v>0.15233463035019454</v>
      </c>
    </row>
    <row r="55" spans="2:13" x14ac:dyDescent="0.3">
      <c r="B55" s="39" t="s">
        <v>2</v>
      </c>
      <c r="C55" s="111">
        <f>E16/E$18</f>
        <v>0.2</v>
      </c>
      <c r="D55" s="112">
        <f>D25/D$27</f>
        <v>0.93385214007782102</v>
      </c>
      <c r="E55" s="113">
        <f t="shared" si="0"/>
        <v>0.56692607003891049</v>
      </c>
    </row>
    <row r="56" spans="2:13" x14ac:dyDescent="0.3">
      <c r="B56" s="39" t="s">
        <v>5</v>
      </c>
      <c r="C56" s="111">
        <f>E17/E$18</f>
        <v>0.2</v>
      </c>
      <c r="D56" s="112">
        <f>D26/D$27</f>
        <v>5.8365758754863814E-2</v>
      </c>
      <c r="E56" s="113">
        <f t="shared" si="0"/>
        <v>0.12918287937743192</v>
      </c>
    </row>
    <row r="57" spans="2:13" x14ac:dyDescent="0.3">
      <c r="B57" s="40" t="s">
        <v>4</v>
      </c>
      <c r="C57" s="114">
        <f>SUM(C53:C56)</f>
        <v>1</v>
      </c>
      <c r="D57" s="114">
        <f>SUM(D53:D56)</f>
        <v>1</v>
      </c>
      <c r="E57" s="115">
        <f>SUM(E53:E56)</f>
        <v>1</v>
      </c>
    </row>
    <row r="58" spans="2:13" ht="13.95" customHeight="1" x14ac:dyDescent="0.3"/>
    <row r="59" spans="2:13" ht="21.75" customHeight="1" x14ac:dyDescent="0.3">
      <c r="B59" s="35" t="s">
        <v>108</v>
      </c>
      <c r="C59" s="56"/>
      <c r="D59" s="56"/>
      <c r="E59" s="36"/>
      <c r="F59" s="36"/>
      <c r="G59" s="36"/>
      <c r="H59" s="37"/>
    </row>
    <row r="60" spans="2:13" ht="21.75" customHeight="1" x14ac:dyDescent="0.3">
      <c r="B60" s="48"/>
      <c r="C60" s="187" t="s">
        <v>9</v>
      </c>
      <c r="D60" s="187"/>
      <c r="E60" s="188"/>
      <c r="F60" s="189" t="s">
        <v>8</v>
      </c>
      <c r="G60" s="189"/>
      <c r="H60" s="190"/>
    </row>
    <row r="61" spans="2:13" ht="29.25" customHeight="1" x14ac:dyDescent="0.3">
      <c r="B61" s="8"/>
      <c r="C61" s="116" t="s">
        <v>54</v>
      </c>
      <c r="D61" s="116" t="s">
        <v>55</v>
      </c>
      <c r="E61" s="110" t="s">
        <v>10</v>
      </c>
      <c r="F61" s="116" t="s">
        <v>54</v>
      </c>
      <c r="G61" s="116" t="s">
        <v>55</v>
      </c>
      <c r="H61" s="110" t="s">
        <v>10</v>
      </c>
    </row>
    <row r="62" spans="2:13" ht="13.95" customHeight="1" x14ac:dyDescent="0.3">
      <c r="B62" s="39" t="s">
        <v>0</v>
      </c>
      <c r="C62" s="117"/>
      <c r="D62" s="117"/>
      <c r="E62" s="118"/>
      <c r="F62" s="117"/>
      <c r="G62" s="117"/>
      <c r="H62" s="118"/>
    </row>
    <row r="63" spans="2:13" ht="13.95" customHeight="1" x14ac:dyDescent="0.3">
      <c r="B63" s="39" t="s">
        <v>1</v>
      </c>
      <c r="C63" s="117"/>
      <c r="D63" s="117"/>
      <c r="E63" s="118"/>
      <c r="F63" s="117"/>
      <c r="G63" s="117"/>
      <c r="H63" s="118"/>
    </row>
    <row r="64" spans="2:13" ht="13.95" customHeight="1" x14ac:dyDescent="0.3">
      <c r="B64" s="39" t="s">
        <v>2</v>
      </c>
      <c r="C64" s="112">
        <f>D16/SUM(D16:D17)</f>
        <v>0.5</v>
      </c>
      <c r="D64" s="112">
        <f>C25/SUM($C$25:$C$26)</f>
        <v>0.95238095238095233</v>
      </c>
      <c r="E64" s="113">
        <f>(D64*$C$46)+(C64*$D$46)</f>
        <v>0.72619047619047616</v>
      </c>
      <c r="F64" s="112">
        <f>E16/SUM(E16:E17)</f>
        <v>0.5</v>
      </c>
      <c r="G64" s="112">
        <f>D25/SUM($D$25:$D$26)</f>
        <v>0.94117647058823528</v>
      </c>
      <c r="H64" s="113">
        <f>(G64*$C$46)+(F64*$D$46)</f>
        <v>0.72058823529411764</v>
      </c>
    </row>
    <row r="65" spans="2:8" ht="13.95" customHeight="1" x14ac:dyDescent="0.3">
      <c r="B65" s="39" t="s">
        <v>5</v>
      </c>
      <c r="C65" s="112">
        <f>D17/SUM(D16:D17)</f>
        <v>0.5</v>
      </c>
      <c r="D65" s="112">
        <f>C26/SUM($C$25:$C$26)</f>
        <v>4.7619047619047616E-2</v>
      </c>
      <c r="E65" s="113">
        <f>(D65*$C$46)+(C65*$D$46)</f>
        <v>0.27380952380952384</v>
      </c>
      <c r="F65" s="112">
        <f>E17/SUM(E16:E17)</f>
        <v>0.5</v>
      </c>
      <c r="G65" s="112">
        <f>D26/SUM($D$25:$D$26)</f>
        <v>5.8823529411764705E-2</v>
      </c>
      <c r="H65" s="113">
        <f>(G65*$C$46)+(F65*$D$46)</f>
        <v>0.27941176470588236</v>
      </c>
    </row>
    <row r="66" spans="2:8" ht="13.95" customHeight="1" x14ac:dyDescent="0.3">
      <c r="B66" s="40" t="s">
        <v>4</v>
      </c>
      <c r="C66" s="114">
        <f t="shared" ref="C66:H66" si="1">SUM(C64:C65)</f>
        <v>1</v>
      </c>
      <c r="D66" s="114">
        <f t="shared" si="1"/>
        <v>1</v>
      </c>
      <c r="E66" s="115">
        <f t="shared" si="1"/>
        <v>1</v>
      </c>
      <c r="F66" s="114">
        <f t="shared" si="1"/>
        <v>1</v>
      </c>
      <c r="G66" s="114">
        <f t="shared" si="1"/>
        <v>1</v>
      </c>
      <c r="H66" s="115">
        <f t="shared" si="1"/>
        <v>1</v>
      </c>
    </row>
    <row r="67" spans="2:8" ht="13.95" customHeight="1" x14ac:dyDescent="0.3"/>
    <row r="68" spans="2:8" ht="13.95" customHeight="1" x14ac:dyDescent="0.3"/>
    <row r="69" spans="2:8" s="12" customFormat="1" ht="22.95" customHeight="1" x14ac:dyDescent="0.3">
      <c r="B69" s="17" t="s">
        <v>60</v>
      </c>
    </row>
    <row r="72" spans="2:8" s="27" customFormat="1" ht="22.95" customHeight="1" x14ac:dyDescent="0.3">
      <c r="B72" s="26" t="s">
        <v>61</v>
      </c>
    </row>
    <row r="74" spans="2:8" x14ac:dyDescent="0.3">
      <c r="B74" s="35" t="s">
        <v>77</v>
      </c>
      <c r="C74" s="10"/>
    </row>
    <row r="75" spans="2:8" x14ac:dyDescent="0.3">
      <c r="B75" s="7" t="s">
        <v>109</v>
      </c>
      <c r="C75" s="53" t="s">
        <v>20</v>
      </c>
    </row>
    <row r="76" spans="2:8" x14ac:dyDescent="0.3">
      <c r="B76" s="39" t="s">
        <v>0</v>
      </c>
      <c r="C76" s="57">
        <f>D23/C23-1</f>
        <v>-0.19999999999999996</v>
      </c>
    </row>
    <row r="77" spans="2:8" x14ac:dyDescent="0.3">
      <c r="B77" s="39" t="s">
        <v>1</v>
      </c>
      <c r="C77" s="57">
        <f>D24/C24-1</f>
        <v>-0.25</v>
      </c>
    </row>
    <row r="78" spans="2:8" x14ac:dyDescent="0.3">
      <c r="B78" s="39" t="s">
        <v>2</v>
      </c>
      <c r="C78" s="57">
        <f t="shared" ref="C78:C79" si="2">D25/C25-1</f>
        <v>0</v>
      </c>
    </row>
    <row r="79" spans="2:8" x14ac:dyDescent="0.3">
      <c r="B79" s="39" t="s">
        <v>5</v>
      </c>
      <c r="C79" s="57">
        <f t="shared" si="2"/>
        <v>0.25</v>
      </c>
    </row>
    <row r="80" spans="2:8" x14ac:dyDescent="0.3">
      <c r="B80" s="72" t="s">
        <v>16</v>
      </c>
      <c r="C80" s="74">
        <f>SUMPRODUCT(E53:E56,C76:C79)</f>
        <v>-3.609922178988325E-2</v>
      </c>
    </row>
    <row r="82" spans="2:4" s="27" customFormat="1" ht="22.95" customHeight="1" x14ac:dyDescent="0.3">
      <c r="B82" s="26" t="s">
        <v>110</v>
      </c>
    </row>
    <row r="84" spans="2:4" ht="15.6" x14ac:dyDescent="0.3">
      <c r="B84" s="35" t="s">
        <v>111</v>
      </c>
      <c r="C84" s="9"/>
      <c r="D84" s="10"/>
    </row>
    <row r="85" spans="2:4" x14ac:dyDescent="0.3">
      <c r="B85" s="7"/>
      <c r="C85" s="79" t="s">
        <v>18</v>
      </c>
      <c r="D85" s="11" t="s">
        <v>8</v>
      </c>
    </row>
    <row r="86" spans="2:4" x14ac:dyDescent="0.3">
      <c r="B86" s="39" t="s">
        <v>112</v>
      </c>
      <c r="C86" s="29">
        <f>C33*E64+E33*E65</f>
        <v>0.63571428571428579</v>
      </c>
      <c r="D86" s="59">
        <f>D33*H64+F33*H65</f>
        <v>0.64632352941176474</v>
      </c>
    </row>
    <row r="87" spans="2:4" ht="15.6" x14ac:dyDescent="0.35">
      <c r="B87" s="72" t="s">
        <v>92</v>
      </c>
      <c r="C87" s="69"/>
      <c r="D87" s="75">
        <f>D86/C86-1</f>
        <v>1.6688697951090514E-2</v>
      </c>
    </row>
  </sheetData>
  <mergeCells count="7">
    <mergeCell ref="C60:E60"/>
    <mergeCell ref="F60:H60"/>
    <mergeCell ref="B2:E2"/>
    <mergeCell ref="D12:E12"/>
    <mergeCell ref="C21:D21"/>
    <mergeCell ref="C30:D30"/>
    <mergeCell ref="E30:F30"/>
  </mergeCells>
  <dataValidations count="1">
    <dataValidation type="list" allowBlank="1" showInputMessage="1" showErrorMessage="1" sqref="B46">
      <formula1>$B$40:$B$42</formula1>
    </dataValidation>
  </dataValidations>
  <pageMargins left="0.7" right="0.7" top="0.78740157499999996" bottom="0.78740157499999996" header="0.3" footer="0.3"/>
  <pageSetup paperSize="9" orientation="portrait" r:id="rId1"/>
  <headerFooter>
    <oddHeader>&amp;C&amp;"Calibri"&amp;10&amp;K000000Umweltbundesamt GmbH - intern&amp;1#</oddHeader>
    <oddFooter>&amp;C&amp;1#&amp;"Calibri"&amp;10&amp;K000000Umweltbundesamt GmbH - intern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68E4D"/>
  </sheetPr>
  <dimension ref="A1:M109"/>
  <sheetViews>
    <sheetView showGridLines="0" zoomScale="70" zoomScaleNormal="70" workbookViewId="0">
      <selection activeCell="A28" sqref="A28"/>
    </sheetView>
  </sheetViews>
  <sheetFormatPr baseColWidth="10" defaultRowHeight="14.4" outlineLevelRow="1" x14ac:dyDescent="0.3"/>
  <cols>
    <col min="1" max="1" width="18.5546875" customWidth="1"/>
    <col min="2" max="2" width="42.44140625" customWidth="1"/>
    <col min="3" max="3" width="26.77734375" customWidth="1"/>
    <col min="4" max="4" width="25.21875" customWidth="1"/>
    <col min="5" max="5" width="30.5546875" customWidth="1"/>
    <col min="6" max="6" width="23.77734375" customWidth="1"/>
    <col min="7" max="7" width="22" style="4" customWidth="1"/>
    <col min="8" max="10" width="22" customWidth="1"/>
  </cols>
  <sheetData>
    <row r="1" spans="1:7" ht="25.8" x14ac:dyDescent="0.5">
      <c r="A1" s="3"/>
      <c r="B1" s="2" t="s">
        <v>144</v>
      </c>
      <c r="D1" s="3"/>
      <c r="E1" s="3"/>
      <c r="F1" s="3"/>
      <c r="G1"/>
    </row>
    <row r="2" spans="1:7" ht="51.75" customHeight="1" x14ac:dyDescent="0.3">
      <c r="A2" s="3"/>
      <c r="B2" s="191" t="s">
        <v>56</v>
      </c>
      <c r="C2" s="191"/>
      <c r="D2" s="191"/>
      <c r="E2" s="191"/>
      <c r="F2" s="3"/>
      <c r="G2"/>
    </row>
    <row r="3" spans="1:7" x14ac:dyDescent="0.3">
      <c r="A3" s="3"/>
      <c r="B3" s="1"/>
      <c r="D3" s="3"/>
      <c r="E3" s="3"/>
      <c r="F3" s="3"/>
      <c r="G3"/>
    </row>
    <row r="4" spans="1:7" x14ac:dyDescent="0.3">
      <c r="A4" s="3"/>
      <c r="B4" s="19" t="s">
        <v>6</v>
      </c>
      <c r="C4" s="9"/>
      <c r="D4" s="10"/>
      <c r="G4"/>
    </row>
    <row r="5" spans="1:7" x14ac:dyDescent="0.3">
      <c r="A5" s="3"/>
      <c r="B5" s="16" t="s">
        <v>7</v>
      </c>
      <c r="C5" s="20" t="s">
        <v>11</v>
      </c>
      <c r="D5" s="84" t="s">
        <v>12</v>
      </c>
      <c r="G5"/>
    </row>
    <row r="6" spans="1:7" x14ac:dyDescent="0.3">
      <c r="E6" s="3"/>
      <c r="F6" s="3"/>
      <c r="G6"/>
    </row>
    <row r="7" spans="1:7" s="60" customFormat="1" ht="22.95" customHeight="1" x14ac:dyDescent="0.3">
      <c r="B7" s="61" t="s">
        <v>135</v>
      </c>
    </row>
    <row r="8" spans="1:7" x14ac:dyDescent="0.3">
      <c r="B8" s="194"/>
      <c r="C8" s="194"/>
      <c r="D8" s="194"/>
      <c r="E8" s="3"/>
      <c r="F8" s="3"/>
      <c r="G8"/>
    </row>
    <row r="9" spans="1:7" s="12" customFormat="1" ht="22.95" customHeight="1" x14ac:dyDescent="0.3">
      <c r="B9" s="17" t="s">
        <v>17</v>
      </c>
    </row>
    <row r="10" spans="1:7" x14ac:dyDescent="0.3">
      <c r="E10" s="3"/>
      <c r="F10" s="3"/>
      <c r="G10"/>
    </row>
    <row r="11" spans="1:7" ht="21" customHeight="1" x14ac:dyDescent="0.3">
      <c r="B11" s="35" t="s">
        <v>43</v>
      </c>
      <c r="C11" s="36"/>
      <c r="D11" s="36"/>
      <c r="E11" s="37"/>
      <c r="F11" s="3"/>
      <c r="G11"/>
    </row>
    <row r="12" spans="1:7" ht="21" customHeight="1" x14ac:dyDescent="0.3">
      <c r="B12" s="48"/>
      <c r="C12" s="58"/>
      <c r="D12" s="192" t="s">
        <v>107</v>
      </c>
      <c r="E12" s="193"/>
      <c r="F12" s="3"/>
      <c r="G12"/>
    </row>
    <row r="13" spans="1:7" x14ac:dyDescent="0.3">
      <c r="B13" s="7"/>
      <c r="C13" s="46" t="s">
        <v>19</v>
      </c>
      <c r="D13" s="13" t="s">
        <v>9</v>
      </c>
      <c r="E13" s="14" t="s">
        <v>8</v>
      </c>
      <c r="F13" s="3"/>
      <c r="G13"/>
    </row>
    <row r="14" spans="1:7" x14ac:dyDescent="0.3">
      <c r="B14" s="39" t="s">
        <v>0</v>
      </c>
      <c r="C14" s="45" t="s">
        <v>57</v>
      </c>
      <c r="D14" s="167">
        <v>3000000</v>
      </c>
      <c r="E14" s="168">
        <v>3000000</v>
      </c>
      <c r="F14" s="3"/>
      <c r="G14"/>
    </row>
    <row r="15" spans="1:7" x14ac:dyDescent="0.3">
      <c r="B15" s="39" t="s">
        <v>1</v>
      </c>
      <c r="C15" s="45" t="s">
        <v>57</v>
      </c>
      <c r="D15" s="167">
        <v>3000000</v>
      </c>
      <c r="E15" s="168">
        <v>3000000</v>
      </c>
      <c r="F15" s="3"/>
      <c r="G15"/>
    </row>
    <row r="16" spans="1:7" x14ac:dyDescent="0.3">
      <c r="B16" s="39" t="s">
        <v>2</v>
      </c>
      <c r="C16" s="45" t="s">
        <v>46</v>
      </c>
      <c r="D16" s="167">
        <v>2000000</v>
      </c>
      <c r="E16" s="168">
        <v>2000000</v>
      </c>
      <c r="F16" s="3"/>
      <c r="G16"/>
    </row>
    <row r="17" spans="2:10" x14ac:dyDescent="0.3">
      <c r="B17" s="39" t="s">
        <v>5</v>
      </c>
      <c r="C17" s="45" t="s">
        <v>46</v>
      </c>
      <c r="D17" s="167">
        <v>2000000</v>
      </c>
      <c r="E17" s="168">
        <v>2000000</v>
      </c>
      <c r="F17" s="3"/>
      <c r="G17"/>
    </row>
    <row r="18" spans="2:10" x14ac:dyDescent="0.3">
      <c r="B18" s="40" t="s">
        <v>4</v>
      </c>
      <c r="C18" s="47"/>
      <c r="D18" s="169">
        <f>SUM(D14:D17)</f>
        <v>10000000</v>
      </c>
      <c r="E18" s="170">
        <f>SUM(E14:E17)</f>
        <v>10000000</v>
      </c>
      <c r="F18" s="3"/>
      <c r="G18"/>
    </row>
    <row r="19" spans="2:10" x14ac:dyDescent="0.3">
      <c r="E19" s="3"/>
      <c r="F19" s="3"/>
      <c r="G19"/>
    </row>
    <row r="20" spans="2:10" ht="21" customHeight="1" x14ac:dyDescent="0.3">
      <c r="B20" s="35" t="s">
        <v>45</v>
      </c>
      <c r="C20" s="36"/>
      <c r="D20" s="37"/>
    </row>
    <row r="21" spans="2:10" ht="15.6" x14ac:dyDescent="0.3">
      <c r="B21" s="48"/>
      <c r="C21" s="187" t="s">
        <v>115</v>
      </c>
      <c r="D21" s="188"/>
    </row>
    <row r="22" spans="2:10" x14ac:dyDescent="0.3">
      <c r="B22" s="8"/>
      <c r="C22" s="13" t="s">
        <v>9</v>
      </c>
      <c r="D22" s="14" t="s">
        <v>8</v>
      </c>
    </row>
    <row r="23" spans="2:10" x14ac:dyDescent="0.3">
      <c r="B23" s="39" t="s">
        <v>0</v>
      </c>
      <c r="C23" s="98">
        <v>50000</v>
      </c>
      <c r="D23" s="99">
        <v>40000</v>
      </c>
    </row>
    <row r="24" spans="2:10" x14ac:dyDescent="0.3">
      <c r="B24" s="39" t="s">
        <v>1</v>
      </c>
      <c r="C24" s="98">
        <v>80000</v>
      </c>
      <c r="D24" s="99">
        <v>60000</v>
      </c>
    </row>
    <row r="25" spans="2:10" x14ac:dyDescent="0.3">
      <c r="B25" s="39" t="s">
        <v>2</v>
      </c>
      <c r="C25" s="98">
        <v>12000000</v>
      </c>
      <c r="D25" s="99">
        <v>12000000</v>
      </c>
    </row>
    <row r="26" spans="2:10" x14ac:dyDescent="0.3">
      <c r="B26" s="39" t="s">
        <v>5</v>
      </c>
      <c r="C26" s="98">
        <v>600000</v>
      </c>
      <c r="D26" s="99">
        <v>750000</v>
      </c>
    </row>
    <row r="27" spans="2:10" x14ac:dyDescent="0.3">
      <c r="B27" s="40" t="s">
        <v>4</v>
      </c>
      <c r="C27" s="102">
        <f>SUM(C23:C26)</f>
        <v>12730000</v>
      </c>
      <c r="D27" s="103">
        <f>SUM(D23:D26)</f>
        <v>12850000</v>
      </c>
    </row>
    <row r="28" spans="2:10" x14ac:dyDescent="0.3">
      <c r="E28" s="3"/>
      <c r="F28" s="3"/>
      <c r="G28"/>
      <c r="J28" s="55"/>
    </row>
    <row r="29" spans="2:10" x14ac:dyDescent="0.3">
      <c r="B29" s="35" t="s">
        <v>91</v>
      </c>
      <c r="C29" s="9"/>
      <c r="D29" s="9"/>
      <c r="E29" s="9"/>
      <c r="F29" s="9"/>
      <c r="G29" s="9"/>
      <c r="H29" s="9"/>
      <c r="I29" s="9"/>
      <c r="J29" s="10"/>
    </row>
    <row r="30" spans="2:10" x14ac:dyDescent="0.3">
      <c r="B30" s="15"/>
      <c r="C30" s="192" t="s">
        <v>0</v>
      </c>
      <c r="D30" s="192"/>
      <c r="E30" s="192" t="s">
        <v>1</v>
      </c>
      <c r="F30" s="192"/>
      <c r="G30" s="192" t="s">
        <v>2</v>
      </c>
      <c r="H30" s="192"/>
      <c r="I30" s="192" t="s">
        <v>5</v>
      </c>
      <c r="J30" s="193"/>
    </row>
    <row r="31" spans="2:10" x14ac:dyDescent="0.3">
      <c r="B31" s="8"/>
      <c r="C31" s="13" t="s">
        <v>9</v>
      </c>
      <c r="D31" s="13" t="s">
        <v>8</v>
      </c>
      <c r="E31" s="13" t="s">
        <v>9</v>
      </c>
      <c r="F31" s="13" t="s">
        <v>8</v>
      </c>
      <c r="G31" s="13" t="s">
        <v>9</v>
      </c>
      <c r="H31" s="13" t="s">
        <v>8</v>
      </c>
      <c r="I31" s="13" t="s">
        <v>9</v>
      </c>
      <c r="J31" s="14" t="s">
        <v>8</v>
      </c>
    </row>
    <row r="32" spans="2:10" x14ac:dyDescent="0.3">
      <c r="B32" s="97" t="s">
        <v>114</v>
      </c>
      <c r="C32" s="98">
        <v>50000000</v>
      </c>
      <c r="D32" s="121">
        <v>50000000</v>
      </c>
      <c r="E32" s="98">
        <v>10000000</v>
      </c>
      <c r="F32" s="121">
        <v>10000000</v>
      </c>
      <c r="G32" s="98">
        <v>110000000</v>
      </c>
      <c r="H32" s="122">
        <v>150000000</v>
      </c>
      <c r="I32" s="98">
        <v>35000000</v>
      </c>
      <c r="J32" s="99">
        <v>35000000</v>
      </c>
    </row>
    <row r="33" spans="2:10" ht="15.6" x14ac:dyDescent="0.35">
      <c r="B33" s="97" t="s">
        <v>117</v>
      </c>
      <c r="C33" s="123">
        <f>C23</f>
        <v>50000</v>
      </c>
      <c r="D33" s="123">
        <f>D23</f>
        <v>40000</v>
      </c>
      <c r="E33" s="123">
        <f>C24</f>
        <v>80000</v>
      </c>
      <c r="F33" s="123">
        <f>D24</f>
        <v>60000</v>
      </c>
      <c r="G33" s="123">
        <f>C25</f>
        <v>12000000</v>
      </c>
      <c r="H33" s="123">
        <f>D25</f>
        <v>12000000</v>
      </c>
      <c r="I33" s="123">
        <f>C26</f>
        <v>600000</v>
      </c>
      <c r="J33" s="124">
        <f>D26</f>
        <v>750000</v>
      </c>
    </row>
    <row r="34" spans="2:10" x14ac:dyDescent="0.3">
      <c r="B34" s="108" t="s">
        <v>27</v>
      </c>
      <c r="C34" s="117"/>
      <c r="D34" s="117"/>
      <c r="E34" s="117"/>
      <c r="F34" s="117"/>
      <c r="G34" s="98">
        <v>15000000</v>
      </c>
      <c r="H34" s="98">
        <v>15000000</v>
      </c>
      <c r="I34" s="98">
        <v>3000000</v>
      </c>
      <c r="J34" s="99">
        <v>3000000</v>
      </c>
    </row>
    <row r="35" spans="2:10" ht="15.6" x14ac:dyDescent="0.3">
      <c r="B35" s="120" t="s">
        <v>116</v>
      </c>
      <c r="C35" s="125"/>
      <c r="D35" s="125"/>
      <c r="E35" s="125"/>
      <c r="F35" s="125"/>
      <c r="G35" s="126">
        <f>C25/G34</f>
        <v>0.8</v>
      </c>
      <c r="H35" s="126">
        <f>D25/H34</f>
        <v>0.8</v>
      </c>
      <c r="I35" s="126">
        <f>C26/I34</f>
        <v>0.2</v>
      </c>
      <c r="J35" s="127">
        <f>D26/J34</f>
        <v>0.25</v>
      </c>
    </row>
    <row r="37" spans="2:10" x14ac:dyDescent="0.3">
      <c r="E37" s="3"/>
      <c r="F37" s="3"/>
      <c r="G37"/>
    </row>
    <row r="38" spans="2:10" s="12" customFormat="1" ht="22.95" hidden="1" customHeight="1" outlineLevel="1" x14ac:dyDescent="0.3">
      <c r="B38" s="17" t="s">
        <v>93</v>
      </c>
    </row>
    <row r="39" spans="2:10" ht="13.95" hidden="1" customHeight="1" outlineLevel="1" x14ac:dyDescent="0.3"/>
    <row r="40" spans="2:10" ht="18" hidden="1" customHeight="1" outlineLevel="1" x14ac:dyDescent="0.3">
      <c r="B40" s="35" t="s">
        <v>50</v>
      </c>
      <c r="C40" s="49"/>
      <c r="D40" s="50"/>
    </row>
    <row r="41" spans="2:10" ht="17.25" hidden="1" customHeight="1" outlineLevel="1" x14ac:dyDescent="0.35">
      <c r="B41" s="7"/>
      <c r="C41" s="13" t="s">
        <v>22</v>
      </c>
      <c r="D41" s="14" t="s">
        <v>23</v>
      </c>
      <c r="J41" s="34"/>
    </row>
    <row r="42" spans="2:10" ht="13.95" hidden="1" customHeight="1" outlineLevel="1" x14ac:dyDescent="0.3">
      <c r="B42" s="76" t="s">
        <v>48</v>
      </c>
      <c r="C42" s="104">
        <v>0</v>
      </c>
      <c r="D42" s="105">
        <f>1-C42</f>
        <v>1</v>
      </c>
      <c r="J42" s="34"/>
    </row>
    <row r="43" spans="2:10" ht="13.95" hidden="1" customHeight="1" outlineLevel="1" x14ac:dyDescent="0.3">
      <c r="B43" s="76" t="s">
        <v>47</v>
      </c>
      <c r="C43" s="104">
        <v>0.5</v>
      </c>
      <c r="D43" s="105">
        <f>1-C43</f>
        <v>0.5</v>
      </c>
      <c r="J43" s="34"/>
    </row>
    <row r="44" spans="2:10" ht="13.95" hidden="1" customHeight="1" outlineLevel="1" x14ac:dyDescent="0.3">
      <c r="B44" s="78" t="s">
        <v>49</v>
      </c>
      <c r="C44" s="106">
        <v>1</v>
      </c>
      <c r="D44" s="107">
        <f>1-C44</f>
        <v>0</v>
      </c>
      <c r="I44" s="34"/>
      <c r="J44" s="34"/>
    </row>
    <row r="45" spans="2:10" ht="13.95" hidden="1" customHeight="1" outlineLevel="1" x14ac:dyDescent="0.3"/>
    <row r="46" spans="2:10" ht="13.95" hidden="1" customHeight="1" outlineLevel="1" x14ac:dyDescent="0.3">
      <c r="B46" s="85" t="s">
        <v>51</v>
      </c>
      <c r="C46" s="49"/>
      <c r="D46" s="50"/>
    </row>
    <row r="47" spans="2:10" ht="13.95" hidden="1" customHeight="1" outlineLevel="1" x14ac:dyDescent="0.3">
      <c r="B47" s="73"/>
      <c r="C47" s="81" t="s">
        <v>22</v>
      </c>
      <c r="D47" s="82" t="s">
        <v>23</v>
      </c>
    </row>
    <row r="48" spans="2:10" ht="13.95" hidden="1" customHeight="1" outlineLevel="1" x14ac:dyDescent="0.3">
      <c r="B48" s="66" t="s">
        <v>13</v>
      </c>
      <c r="C48" s="62">
        <f>VLOOKUP(B48,$B$42:$D$44,2,FALSE)</f>
        <v>0.5</v>
      </c>
      <c r="D48" s="63">
        <f>VLOOKUP(B48,$B$42:$D$44,3,FALSE)</f>
        <v>0.5</v>
      </c>
    </row>
    <row r="49" spans="2:13" ht="13.95" hidden="1" customHeight="1" outlineLevel="1" x14ac:dyDescent="0.3"/>
    <row r="50" spans="2:13" ht="14.4" hidden="1" customHeight="1" outlineLevel="1" x14ac:dyDescent="0.3"/>
    <row r="51" spans="2:13" s="12" customFormat="1" ht="22.95" hidden="1" customHeight="1" outlineLevel="1" x14ac:dyDescent="0.3">
      <c r="B51" s="17" t="s">
        <v>94</v>
      </c>
    </row>
    <row r="52" spans="2:13" ht="14.4" hidden="1" customHeight="1" outlineLevel="1" x14ac:dyDescent="0.3"/>
    <row r="53" spans="2:13" s="38" customFormat="1" ht="21.75" hidden="1" customHeight="1" outlineLevel="1" x14ac:dyDescent="0.3">
      <c r="B53" s="35" t="s">
        <v>52</v>
      </c>
      <c r="C53" s="36"/>
      <c r="D53" s="36"/>
      <c r="E53" s="37"/>
      <c r="L53"/>
      <c r="M53"/>
    </row>
    <row r="54" spans="2:13" ht="36" hidden="1" customHeight="1" outlineLevel="1" x14ac:dyDescent="0.3">
      <c r="B54" s="8"/>
      <c r="C54" s="13" t="s">
        <v>14</v>
      </c>
      <c r="D54" s="13" t="s">
        <v>31</v>
      </c>
      <c r="E54" s="110" t="s">
        <v>10</v>
      </c>
    </row>
    <row r="55" spans="2:13" ht="14.4" hidden="1" customHeight="1" outlineLevel="1" x14ac:dyDescent="0.3">
      <c r="B55" s="39" t="s">
        <v>0</v>
      </c>
      <c r="C55" s="111">
        <f>E14/E$18</f>
        <v>0.3</v>
      </c>
      <c r="D55" s="112">
        <f>D23/D$27</f>
        <v>3.1128404669260703E-3</v>
      </c>
      <c r="E55" s="113">
        <f>(C55*$D$48)+(D55*$C$48)</f>
        <v>0.15155642023346302</v>
      </c>
    </row>
    <row r="56" spans="2:13" ht="14.4" hidden="1" customHeight="1" outlineLevel="1" x14ac:dyDescent="0.3">
      <c r="B56" s="39" t="s">
        <v>1</v>
      </c>
      <c r="C56" s="111">
        <f>E15/E$18</f>
        <v>0.3</v>
      </c>
      <c r="D56" s="112">
        <f>D24/D$27</f>
        <v>4.6692607003891049E-3</v>
      </c>
      <c r="E56" s="113">
        <f t="shared" ref="E56:E58" si="0">(C56*$D$48)+(D56*$C$48)</f>
        <v>0.15233463035019454</v>
      </c>
    </row>
    <row r="57" spans="2:13" ht="14.4" hidden="1" customHeight="1" outlineLevel="1" x14ac:dyDescent="0.3">
      <c r="B57" s="39" t="s">
        <v>2</v>
      </c>
      <c r="C57" s="111">
        <f>E16/E$18</f>
        <v>0.2</v>
      </c>
      <c r="D57" s="112">
        <f>D25/D$27</f>
        <v>0.93385214007782102</v>
      </c>
      <c r="E57" s="113">
        <f t="shared" si="0"/>
        <v>0.56692607003891049</v>
      </c>
    </row>
    <row r="58" spans="2:13" ht="14.4" hidden="1" customHeight="1" outlineLevel="1" x14ac:dyDescent="0.3">
      <c r="B58" s="39" t="s">
        <v>5</v>
      </c>
      <c r="C58" s="111">
        <f>E17/E$18</f>
        <v>0.2</v>
      </c>
      <c r="D58" s="112">
        <f>D26/D$27</f>
        <v>5.8365758754863814E-2</v>
      </c>
      <c r="E58" s="113">
        <f t="shared" si="0"/>
        <v>0.12918287937743192</v>
      </c>
    </row>
    <row r="59" spans="2:13" ht="14.4" hidden="1" customHeight="1" outlineLevel="1" x14ac:dyDescent="0.3">
      <c r="B59" s="40" t="s">
        <v>4</v>
      </c>
      <c r="C59" s="114">
        <f>SUM(C55:C58)</f>
        <v>1</v>
      </c>
      <c r="D59" s="114">
        <f>SUM(D55:D58)</f>
        <v>1</v>
      </c>
      <c r="E59" s="115">
        <f>SUM(E55:E58)</f>
        <v>1</v>
      </c>
    </row>
    <row r="60" spans="2:13" ht="13.95" hidden="1" customHeight="1" outlineLevel="1" x14ac:dyDescent="0.3"/>
    <row r="61" spans="2:13" ht="21.75" hidden="1" customHeight="1" outlineLevel="1" x14ac:dyDescent="0.3">
      <c r="B61" s="35" t="s">
        <v>53</v>
      </c>
      <c r="C61" s="56"/>
      <c r="D61" s="56"/>
      <c r="E61" s="36"/>
      <c r="F61" s="36"/>
      <c r="G61" s="36"/>
      <c r="H61" s="37"/>
    </row>
    <row r="62" spans="2:13" ht="21.75" hidden="1" customHeight="1" outlineLevel="1" x14ac:dyDescent="0.3">
      <c r="B62" s="48"/>
      <c r="C62" s="187" t="s">
        <v>9</v>
      </c>
      <c r="D62" s="187"/>
      <c r="E62" s="188"/>
      <c r="F62" s="189" t="s">
        <v>8</v>
      </c>
      <c r="G62" s="189"/>
      <c r="H62" s="190"/>
    </row>
    <row r="63" spans="2:13" ht="29.25" hidden="1" customHeight="1" outlineLevel="1" x14ac:dyDescent="0.3">
      <c r="B63" s="8"/>
      <c r="C63" s="116" t="s">
        <v>54</v>
      </c>
      <c r="D63" s="116" t="s">
        <v>55</v>
      </c>
      <c r="E63" s="110" t="s">
        <v>10</v>
      </c>
      <c r="F63" s="116" t="s">
        <v>54</v>
      </c>
      <c r="G63" s="116" t="s">
        <v>55</v>
      </c>
      <c r="H63" s="110" t="s">
        <v>10</v>
      </c>
    </row>
    <row r="64" spans="2:13" ht="13.95" hidden="1" customHeight="1" outlineLevel="1" x14ac:dyDescent="0.3">
      <c r="B64" s="39" t="s">
        <v>0</v>
      </c>
      <c r="C64" s="117"/>
      <c r="D64" s="117"/>
      <c r="E64" s="118"/>
      <c r="F64" s="117"/>
      <c r="G64" s="117"/>
      <c r="H64" s="118"/>
    </row>
    <row r="65" spans="2:8" ht="13.95" hidden="1" customHeight="1" outlineLevel="1" x14ac:dyDescent="0.3">
      <c r="B65" s="39" t="s">
        <v>1</v>
      </c>
      <c r="C65" s="117"/>
      <c r="D65" s="117"/>
      <c r="E65" s="118"/>
      <c r="F65" s="117"/>
      <c r="G65" s="117"/>
      <c r="H65" s="118"/>
    </row>
    <row r="66" spans="2:8" ht="13.95" hidden="1" customHeight="1" outlineLevel="1" x14ac:dyDescent="0.3">
      <c r="B66" s="39" t="s">
        <v>2</v>
      </c>
      <c r="C66" s="112">
        <f>D16/SUM(D16:D17)</f>
        <v>0.5</v>
      </c>
      <c r="D66" s="112">
        <f>C25/SUM($C$25:$C$26)</f>
        <v>0.95238095238095233</v>
      </c>
      <c r="E66" s="119">
        <f>(D66*$C$48)+(C66*$D$48)</f>
        <v>0.72619047619047616</v>
      </c>
      <c r="F66" s="112">
        <f>E16/SUM(E16:E17)</f>
        <v>0.5</v>
      </c>
      <c r="G66" s="112">
        <f>D25/SUM($D$25:$D$26)</f>
        <v>0.94117647058823528</v>
      </c>
      <c r="H66" s="113">
        <f>(G66*$C$48)+(C66*$D$48)</f>
        <v>0.72058823529411764</v>
      </c>
    </row>
    <row r="67" spans="2:8" ht="13.95" hidden="1" customHeight="1" outlineLevel="1" x14ac:dyDescent="0.3">
      <c r="B67" s="39" t="s">
        <v>5</v>
      </c>
      <c r="C67" s="112">
        <f>D17/SUM(D16:D17)</f>
        <v>0.5</v>
      </c>
      <c r="D67" s="112">
        <f>C26/SUM($C$25:$C$26)</f>
        <v>4.7619047619047616E-2</v>
      </c>
      <c r="E67" s="119">
        <f>(D67*$C$48)+(C67*$D$48)</f>
        <v>0.27380952380952384</v>
      </c>
      <c r="F67" s="112">
        <f>E17/SUM(E16:E17)</f>
        <v>0.5</v>
      </c>
      <c r="G67" s="112">
        <f>D26/SUM($D$25:$D$26)</f>
        <v>5.8823529411764705E-2</v>
      </c>
      <c r="H67" s="113">
        <f>(G67*$C$48)+(C67*$D$48)</f>
        <v>0.27941176470588236</v>
      </c>
    </row>
    <row r="68" spans="2:8" ht="13.95" hidden="1" customHeight="1" outlineLevel="1" x14ac:dyDescent="0.3">
      <c r="B68" s="40" t="s">
        <v>4</v>
      </c>
      <c r="C68" s="114">
        <f t="shared" ref="C68:H68" si="1">SUM(C66:C67)</f>
        <v>1</v>
      </c>
      <c r="D68" s="114">
        <f t="shared" si="1"/>
        <v>1</v>
      </c>
      <c r="E68" s="115">
        <f t="shared" si="1"/>
        <v>1</v>
      </c>
      <c r="F68" s="114">
        <f t="shared" si="1"/>
        <v>1</v>
      </c>
      <c r="G68" s="114">
        <f t="shared" si="1"/>
        <v>1</v>
      </c>
      <c r="H68" s="115">
        <f t="shared" si="1"/>
        <v>1</v>
      </c>
    </row>
    <row r="69" spans="2:8" ht="13.95" hidden="1" customHeight="1" outlineLevel="1" x14ac:dyDescent="0.3"/>
    <row r="70" spans="2:8" ht="13.95" hidden="1" customHeight="1" outlineLevel="1" x14ac:dyDescent="0.3"/>
    <row r="71" spans="2:8" s="12" customFormat="1" ht="22.95" hidden="1" customHeight="1" outlineLevel="1" x14ac:dyDescent="0.3">
      <c r="B71" s="17" t="s">
        <v>95</v>
      </c>
    </row>
    <row r="72" spans="2:8" ht="14.4" hidden="1" customHeight="1" outlineLevel="1" x14ac:dyDescent="0.3"/>
    <row r="73" spans="2:8" ht="14.4" hidden="1" customHeight="1" outlineLevel="1" x14ac:dyDescent="0.3"/>
    <row r="74" spans="2:8" s="27" customFormat="1" ht="22.95" hidden="1" customHeight="1" outlineLevel="1" x14ac:dyDescent="0.3">
      <c r="B74" s="26" t="s">
        <v>96</v>
      </c>
    </row>
    <row r="75" spans="2:8" ht="14.4" hidden="1" customHeight="1" outlineLevel="1" x14ac:dyDescent="0.3"/>
    <row r="76" spans="2:8" ht="14.4" hidden="1" customHeight="1" outlineLevel="1" x14ac:dyDescent="0.3">
      <c r="B76" s="35" t="s">
        <v>77</v>
      </c>
      <c r="C76" s="10"/>
    </row>
    <row r="77" spans="2:8" ht="14.4" hidden="1" customHeight="1" outlineLevel="1" x14ac:dyDescent="0.3">
      <c r="B77" s="7" t="s">
        <v>109</v>
      </c>
      <c r="C77" s="53" t="s">
        <v>20</v>
      </c>
    </row>
    <row r="78" spans="2:8" ht="14.4" hidden="1" customHeight="1" outlineLevel="1" x14ac:dyDescent="0.3">
      <c r="B78" s="39" t="s">
        <v>0</v>
      </c>
      <c r="C78" s="57">
        <f>D23/C23-1</f>
        <v>-0.19999999999999996</v>
      </c>
    </row>
    <row r="79" spans="2:8" ht="14.4" hidden="1" customHeight="1" outlineLevel="1" x14ac:dyDescent="0.3">
      <c r="B79" s="39" t="s">
        <v>1</v>
      </c>
      <c r="C79" s="57">
        <f>D24/C24-1</f>
        <v>-0.25</v>
      </c>
    </row>
    <row r="80" spans="2:8" ht="14.4" hidden="1" customHeight="1" outlineLevel="1" x14ac:dyDescent="0.3">
      <c r="B80" s="39" t="s">
        <v>2</v>
      </c>
      <c r="C80" s="57">
        <f t="shared" ref="C80:C81" si="2">D25/C25-1</f>
        <v>0</v>
      </c>
    </row>
    <row r="81" spans="1:7" ht="14.4" hidden="1" customHeight="1" outlineLevel="1" x14ac:dyDescent="0.3">
      <c r="B81" s="39" t="s">
        <v>5</v>
      </c>
      <c r="C81" s="57">
        <f t="shared" si="2"/>
        <v>0.25</v>
      </c>
    </row>
    <row r="82" spans="1:7" ht="14.4" hidden="1" customHeight="1" outlineLevel="1" x14ac:dyDescent="0.3">
      <c r="B82" s="72" t="s">
        <v>16</v>
      </c>
      <c r="C82" s="74">
        <f>SUMPRODUCT(E55:E58,C78:C81)</f>
        <v>-3.609922178988325E-2</v>
      </c>
    </row>
    <row r="83" spans="1:7" ht="14.4" hidden="1" customHeight="1" outlineLevel="1" x14ac:dyDescent="0.3"/>
    <row r="84" spans="1:7" s="27" customFormat="1" ht="22.95" hidden="1" customHeight="1" outlineLevel="1" x14ac:dyDescent="0.3">
      <c r="B84" s="26" t="s">
        <v>97</v>
      </c>
    </row>
    <row r="85" spans="1:7" ht="14.4" hidden="1" customHeight="1" outlineLevel="1" x14ac:dyDescent="0.3"/>
    <row r="86" spans="1:7" ht="15.6" hidden="1" customHeight="1" outlineLevel="1" x14ac:dyDescent="0.3">
      <c r="B86" s="35" t="s">
        <v>62</v>
      </c>
      <c r="C86" s="9"/>
      <c r="D86" s="10"/>
    </row>
    <row r="87" spans="1:7" ht="14.4" hidden="1" customHeight="1" outlineLevel="1" x14ac:dyDescent="0.3">
      <c r="B87" s="7"/>
      <c r="C87" s="70" t="s">
        <v>18</v>
      </c>
      <c r="D87" s="11" t="s">
        <v>8</v>
      </c>
    </row>
    <row r="88" spans="1:7" ht="14.4" hidden="1" customHeight="1" outlineLevel="1" x14ac:dyDescent="0.3">
      <c r="B88" s="39" t="s">
        <v>121</v>
      </c>
      <c r="C88" s="29">
        <f>G35*E66+I35*E67</f>
        <v>0.63571428571428579</v>
      </c>
      <c r="D88" s="59">
        <f>H35*H66+J35*H67</f>
        <v>0.64632352941176474</v>
      </c>
    </row>
    <row r="89" spans="1:7" ht="15.6" hidden="1" customHeight="1" outlineLevel="1" x14ac:dyDescent="0.35">
      <c r="B89" s="72" t="s">
        <v>92</v>
      </c>
      <c r="C89" s="69"/>
      <c r="D89" s="75">
        <f>D88/C88-1</f>
        <v>1.6688697951090514E-2</v>
      </c>
    </row>
    <row r="90" spans="1:7" ht="14.4" hidden="1" customHeight="1" outlineLevel="1" x14ac:dyDescent="0.3"/>
    <row r="91" spans="1:7" s="195" customFormat="1" ht="22.8" customHeight="1" collapsed="1" x14ac:dyDescent="0.3">
      <c r="A91" s="197" t="s">
        <v>147</v>
      </c>
      <c r="G91" s="196"/>
    </row>
    <row r="93" spans="1:7" s="12" customFormat="1" ht="22.8" customHeight="1" x14ac:dyDescent="0.3">
      <c r="B93" s="17" t="s">
        <v>28</v>
      </c>
    </row>
    <row r="95" spans="1:7" s="27" customFormat="1" ht="22.95" customHeight="1" x14ac:dyDescent="0.3">
      <c r="B95" s="26" t="s">
        <v>63</v>
      </c>
    </row>
    <row r="97" spans="2:5" x14ac:dyDescent="0.3">
      <c r="B97" s="32" t="s">
        <v>113</v>
      </c>
      <c r="C97" s="5"/>
      <c r="D97" s="5"/>
      <c r="E97" s="6"/>
    </row>
    <row r="98" spans="2:5" x14ac:dyDescent="0.3">
      <c r="B98" s="15"/>
      <c r="C98" s="21" t="s">
        <v>9</v>
      </c>
      <c r="D98" s="21" t="s">
        <v>8</v>
      </c>
      <c r="E98" s="22" t="s">
        <v>3</v>
      </c>
    </row>
    <row r="99" spans="2:5" x14ac:dyDescent="0.3">
      <c r="B99" s="24" t="s">
        <v>32</v>
      </c>
      <c r="C99" s="25"/>
      <c r="D99" s="25"/>
      <c r="E99" s="158">
        <f>C82</f>
        <v>-3.609922178988325E-2</v>
      </c>
    </row>
    <row r="100" spans="2:5" ht="15.6" x14ac:dyDescent="0.3">
      <c r="B100" s="28" t="s">
        <v>118</v>
      </c>
      <c r="C100" s="160">
        <f>(D14/C32*C33+D15/E32*E33+D16/G32*G33+D17/I32*I33)</f>
        <v>279467.53246753244</v>
      </c>
      <c r="D100" s="160">
        <f>(E14/D32*D33+E15/F32*F33+E16/H32*H33+E17/J32*J33)</f>
        <v>223257.14285714284</v>
      </c>
      <c r="E100" s="159">
        <f>D100/C100-1</f>
        <v>-0.20113388168595192</v>
      </c>
    </row>
    <row r="103" spans="2:5" s="27" customFormat="1" ht="22.95" customHeight="1" x14ac:dyDescent="0.3">
      <c r="B103" s="26" t="s">
        <v>64</v>
      </c>
    </row>
    <row r="105" spans="2:5" ht="15.6" x14ac:dyDescent="0.35">
      <c r="B105" s="32" t="s">
        <v>65</v>
      </c>
      <c r="C105" s="5"/>
      <c r="D105" s="5"/>
      <c r="E105" s="6"/>
    </row>
    <row r="106" spans="2:5" x14ac:dyDescent="0.3">
      <c r="B106" s="15"/>
      <c r="C106" s="21" t="s">
        <v>9</v>
      </c>
      <c r="D106" s="21" t="s">
        <v>8</v>
      </c>
      <c r="E106" s="22" t="s">
        <v>3</v>
      </c>
    </row>
    <row r="107" spans="2:5" ht="15.6" x14ac:dyDescent="0.3">
      <c r="B107" s="24" t="s">
        <v>66</v>
      </c>
      <c r="C107" s="25"/>
      <c r="D107" s="25"/>
      <c r="E107" s="158">
        <f>D89</f>
        <v>1.6688697951090514E-2</v>
      </c>
    </row>
    <row r="108" spans="2:5" x14ac:dyDescent="0.3">
      <c r="B108" s="87" t="s">
        <v>119</v>
      </c>
      <c r="C108" s="86">
        <f>(D16/G32*G33+D17/I32*I33)</f>
        <v>252467.53246753247</v>
      </c>
      <c r="D108" s="86">
        <f>(E16/H32*H33+E17/J32*J33)</f>
        <v>202857.14285714284</v>
      </c>
      <c r="E108" s="31">
        <f>D108/C108-1</f>
        <v>-0.19650205761316875</v>
      </c>
    </row>
    <row r="109" spans="2:5" x14ac:dyDescent="0.3">
      <c r="B109" s="23" t="s">
        <v>120</v>
      </c>
      <c r="C109" s="161">
        <f>C108/(D16/G32*G34+D17/I32*I34)</f>
        <v>0.56842105263157894</v>
      </c>
      <c r="D109" s="161">
        <f>D108/(E16/H32*H34+E17/J32*J34)</f>
        <v>0.5461538461538461</v>
      </c>
      <c r="E109" s="159">
        <f>D109/C109-1</f>
        <v>-3.917378917378922E-2</v>
      </c>
    </row>
  </sheetData>
  <mergeCells count="10">
    <mergeCell ref="B2:E2"/>
    <mergeCell ref="G30:H30"/>
    <mergeCell ref="I30:J30"/>
    <mergeCell ref="D12:E12"/>
    <mergeCell ref="C21:D21"/>
    <mergeCell ref="C62:E62"/>
    <mergeCell ref="F62:H62"/>
    <mergeCell ref="E30:F30"/>
    <mergeCell ref="C30:D30"/>
    <mergeCell ref="B8:D8"/>
  </mergeCells>
  <dataValidations count="1">
    <dataValidation type="list" allowBlank="1" showInputMessage="1" showErrorMessage="1" sqref="B48">
      <formula1>$B$42:$B$44</formula1>
    </dataValidation>
  </dataValidations>
  <pageMargins left="0.7" right="0.7" top="0.78740157499999996" bottom="0.78740157499999996" header="0.3" footer="0.3"/>
  <pageSetup paperSize="9" orientation="portrait" r:id="rId1"/>
  <headerFooter>
    <oddHeader>&amp;C&amp;"Calibri"&amp;10&amp;K000000Umweltbundesamt GmbH - intern&amp;1#</oddHeader>
    <oddFooter>&amp;C&amp;1#&amp;"Calibri"&amp;10&amp;K000000Umweltbundesamt GmbH - intern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68E4D"/>
  </sheetPr>
  <dimension ref="A1:M120"/>
  <sheetViews>
    <sheetView showGridLines="0" topLeftCell="A106" zoomScale="70" zoomScaleNormal="70" workbookViewId="0">
      <selection activeCell="G18" sqref="G18"/>
    </sheetView>
  </sheetViews>
  <sheetFormatPr baseColWidth="10" defaultRowHeight="14.4" x14ac:dyDescent="0.3"/>
  <cols>
    <col min="1" max="1" width="18.5546875" customWidth="1"/>
    <col min="2" max="2" width="39.44140625" customWidth="1"/>
    <col min="3" max="5" width="26.77734375" customWidth="1"/>
    <col min="6" max="6" width="23.77734375" customWidth="1"/>
    <col min="7" max="7" width="24.21875" style="4" customWidth="1"/>
    <col min="8" max="8" width="24.21875" customWidth="1"/>
    <col min="9" max="9" width="15.5546875" customWidth="1"/>
    <col min="10" max="10" width="14.77734375" customWidth="1"/>
  </cols>
  <sheetData>
    <row r="1" spans="1:7" ht="25.8" x14ac:dyDescent="0.5">
      <c r="A1" s="3"/>
      <c r="B1" s="2" t="s">
        <v>145</v>
      </c>
      <c r="D1" s="3"/>
      <c r="E1" s="3"/>
      <c r="F1" s="3"/>
      <c r="G1"/>
    </row>
    <row r="2" spans="1:7" ht="30" customHeight="1" x14ac:dyDescent="0.3">
      <c r="A2" s="3"/>
      <c r="B2" s="191" t="s">
        <v>84</v>
      </c>
      <c r="C2" s="191"/>
      <c r="D2" s="191"/>
      <c r="E2" s="191"/>
      <c r="F2" s="3"/>
      <c r="G2"/>
    </row>
    <row r="3" spans="1:7" x14ac:dyDescent="0.3">
      <c r="A3" s="3"/>
      <c r="B3" s="1"/>
      <c r="D3" s="3"/>
      <c r="E3" s="3"/>
      <c r="F3" s="3"/>
      <c r="G3"/>
    </row>
    <row r="4" spans="1:7" x14ac:dyDescent="0.3">
      <c r="A4" s="3"/>
      <c r="B4" s="19" t="s">
        <v>6</v>
      </c>
      <c r="C4" s="9"/>
      <c r="D4" s="10"/>
      <c r="G4"/>
    </row>
    <row r="5" spans="1:7" x14ac:dyDescent="0.3">
      <c r="A5" s="3"/>
      <c r="B5" s="16" t="s">
        <v>7</v>
      </c>
      <c r="C5" s="20" t="s">
        <v>11</v>
      </c>
      <c r="D5" s="84" t="s">
        <v>12</v>
      </c>
      <c r="G5"/>
    </row>
    <row r="6" spans="1:7" x14ac:dyDescent="0.3">
      <c r="E6" s="3"/>
      <c r="F6" s="3"/>
      <c r="G6"/>
    </row>
    <row r="7" spans="1:7" s="60" customFormat="1" ht="22.95" customHeight="1" x14ac:dyDescent="0.3">
      <c r="B7" s="61" t="s">
        <v>134</v>
      </c>
    </row>
    <row r="8" spans="1:7" x14ac:dyDescent="0.3">
      <c r="E8" s="3"/>
      <c r="F8" s="3"/>
      <c r="G8"/>
    </row>
    <row r="9" spans="1:7" s="12" customFormat="1" ht="22.95" customHeight="1" x14ac:dyDescent="0.3">
      <c r="B9" s="17" t="s">
        <v>17</v>
      </c>
    </row>
    <row r="10" spans="1:7" x14ac:dyDescent="0.3">
      <c r="E10" s="3"/>
      <c r="F10" s="3"/>
      <c r="G10"/>
    </row>
    <row r="11" spans="1:7" ht="21" customHeight="1" x14ac:dyDescent="0.3">
      <c r="B11" s="35" t="s">
        <v>43</v>
      </c>
      <c r="C11" s="36"/>
      <c r="D11" s="36"/>
      <c r="E11" s="37"/>
      <c r="F11" s="3"/>
      <c r="G11"/>
    </row>
    <row r="12" spans="1:7" ht="21" customHeight="1" x14ac:dyDescent="0.3">
      <c r="B12" s="48"/>
      <c r="C12" s="58"/>
      <c r="D12" s="192" t="s">
        <v>107</v>
      </c>
      <c r="E12" s="193"/>
      <c r="F12" s="3"/>
      <c r="G12"/>
    </row>
    <row r="13" spans="1:7" x14ac:dyDescent="0.3">
      <c r="B13" s="8"/>
      <c r="C13" s="46" t="s">
        <v>19</v>
      </c>
      <c r="D13" s="70" t="s">
        <v>18</v>
      </c>
      <c r="E13" s="71" t="s">
        <v>8</v>
      </c>
      <c r="F13" s="3"/>
      <c r="G13"/>
    </row>
    <row r="14" spans="1:7" x14ac:dyDescent="0.3">
      <c r="B14" s="39" t="s">
        <v>0</v>
      </c>
      <c r="C14" s="45" t="s">
        <v>57</v>
      </c>
      <c r="D14" s="171">
        <v>3000000</v>
      </c>
      <c r="E14" s="172">
        <v>3000000</v>
      </c>
      <c r="F14" s="3"/>
      <c r="G14"/>
    </row>
    <row r="15" spans="1:7" x14ac:dyDescent="0.3">
      <c r="B15" s="39" t="s">
        <v>1</v>
      </c>
      <c r="C15" s="45" t="s">
        <v>57</v>
      </c>
      <c r="D15" s="171">
        <v>3000000</v>
      </c>
      <c r="E15" s="172">
        <v>3000000</v>
      </c>
      <c r="F15" s="3"/>
      <c r="G15"/>
    </row>
    <row r="16" spans="1:7" x14ac:dyDescent="0.3">
      <c r="B16" s="39" t="s">
        <v>2</v>
      </c>
      <c r="C16" s="45" t="s">
        <v>46</v>
      </c>
      <c r="D16" s="171">
        <v>2000000</v>
      </c>
      <c r="E16" s="172">
        <v>2000000</v>
      </c>
      <c r="F16" s="3"/>
      <c r="G16"/>
    </row>
    <row r="17" spans="2:10" x14ac:dyDescent="0.3">
      <c r="B17" s="39" t="s">
        <v>5</v>
      </c>
      <c r="C17" s="45" t="s">
        <v>46</v>
      </c>
      <c r="D17" s="171">
        <v>2000000</v>
      </c>
      <c r="E17" s="172">
        <v>2000000</v>
      </c>
      <c r="F17" s="3"/>
      <c r="G17"/>
    </row>
    <row r="18" spans="2:10" x14ac:dyDescent="0.3">
      <c r="B18" s="39" t="s">
        <v>25</v>
      </c>
      <c r="C18" s="45" t="s">
        <v>57</v>
      </c>
      <c r="D18" s="171">
        <v>2000000</v>
      </c>
      <c r="E18" s="172">
        <v>2000000</v>
      </c>
      <c r="F18" s="3"/>
      <c r="G18"/>
    </row>
    <row r="19" spans="2:10" x14ac:dyDescent="0.3">
      <c r="B19" s="40" t="s">
        <v>4</v>
      </c>
      <c r="C19" s="47"/>
      <c r="D19" s="173">
        <f>SUM(D14:D18)</f>
        <v>12000000</v>
      </c>
      <c r="E19" s="174">
        <f>SUM(E14:E18)</f>
        <v>12000000</v>
      </c>
      <c r="F19" s="3"/>
      <c r="G19"/>
    </row>
    <row r="20" spans="2:10" x14ac:dyDescent="0.3">
      <c r="E20" s="3"/>
      <c r="F20" s="3"/>
      <c r="G20"/>
    </row>
    <row r="21" spans="2:10" ht="21" customHeight="1" x14ac:dyDescent="0.3">
      <c r="B21" s="35" t="s">
        <v>73</v>
      </c>
      <c r="C21" s="36"/>
      <c r="D21" s="37"/>
    </row>
    <row r="22" spans="2:10" ht="15.6" x14ac:dyDescent="0.3">
      <c r="B22" s="48"/>
      <c r="C22" s="187" t="s">
        <v>115</v>
      </c>
      <c r="D22" s="188"/>
    </row>
    <row r="23" spans="2:10" x14ac:dyDescent="0.3">
      <c r="B23" s="8"/>
      <c r="C23" s="70" t="s">
        <v>18</v>
      </c>
      <c r="D23" s="11" t="s">
        <v>8</v>
      </c>
    </row>
    <row r="24" spans="2:10" x14ac:dyDescent="0.3">
      <c r="B24" s="39" t="s">
        <v>0</v>
      </c>
      <c r="C24" s="30">
        <v>50000</v>
      </c>
      <c r="D24" s="42">
        <v>40000</v>
      </c>
    </row>
    <row r="25" spans="2:10" x14ac:dyDescent="0.3">
      <c r="B25" s="39" t="s">
        <v>1</v>
      </c>
      <c r="C25" s="30">
        <v>80000</v>
      </c>
      <c r="D25" s="42">
        <v>60000</v>
      </c>
    </row>
    <row r="26" spans="2:10" x14ac:dyDescent="0.3">
      <c r="B26" s="39" t="s">
        <v>2</v>
      </c>
      <c r="C26" s="30">
        <v>12000000</v>
      </c>
      <c r="D26" s="42">
        <v>12000000</v>
      </c>
    </row>
    <row r="27" spans="2:10" x14ac:dyDescent="0.3">
      <c r="B27" s="39" t="s">
        <v>5</v>
      </c>
      <c r="C27" s="30">
        <v>600000</v>
      </c>
      <c r="D27" s="42">
        <v>750000</v>
      </c>
    </row>
    <row r="28" spans="2:10" x14ac:dyDescent="0.3">
      <c r="B28" s="39" t="s">
        <v>25</v>
      </c>
      <c r="C28" s="30">
        <v>1500000</v>
      </c>
      <c r="D28" s="42">
        <v>100000</v>
      </c>
    </row>
    <row r="29" spans="2:10" x14ac:dyDescent="0.3">
      <c r="B29" s="40" t="s">
        <v>4</v>
      </c>
      <c r="C29" s="43">
        <f>SUM(C24:C28)</f>
        <v>14230000</v>
      </c>
      <c r="D29" s="44">
        <f>SUM(D24:D28)</f>
        <v>12950000</v>
      </c>
    </row>
    <row r="30" spans="2:10" x14ac:dyDescent="0.3">
      <c r="E30" s="3"/>
      <c r="F30" s="3"/>
      <c r="G30"/>
      <c r="J30" s="55"/>
    </row>
    <row r="31" spans="2:10" x14ac:dyDescent="0.3">
      <c r="E31" s="3"/>
      <c r="F31" s="3"/>
      <c r="G31"/>
      <c r="J31" s="55"/>
    </row>
    <row r="32" spans="2:10" s="12" customFormat="1" ht="22.95" customHeight="1" x14ac:dyDescent="0.3">
      <c r="B32" s="17" t="s">
        <v>122</v>
      </c>
    </row>
    <row r="33" spans="2:10" x14ac:dyDescent="0.3">
      <c r="E33" s="3"/>
      <c r="F33" s="3"/>
      <c r="G33"/>
      <c r="J33" s="55"/>
    </row>
    <row r="34" spans="2:10" x14ac:dyDescent="0.3">
      <c r="B34" s="41" t="s">
        <v>74</v>
      </c>
      <c r="C34" s="67"/>
      <c r="D34" s="67"/>
      <c r="E34" s="67"/>
      <c r="F34" s="67"/>
      <c r="G34" s="67"/>
      <c r="H34" s="68"/>
      <c r="J34" s="55"/>
    </row>
    <row r="35" spans="2:10" ht="15.6" x14ac:dyDescent="0.3">
      <c r="B35" s="65"/>
      <c r="C35" s="187" t="s">
        <v>123</v>
      </c>
      <c r="D35" s="187"/>
      <c r="E35" s="187"/>
      <c r="F35" s="187"/>
      <c r="G35" s="187"/>
      <c r="H35" s="188"/>
      <c r="J35" s="55"/>
    </row>
    <row r="36" spans="2:10" x14ac:dyDescent="0.3">
      <c r="B36" s="8"/>
      <c r="C36" s="13" t="s">
        <v>128</v>
      </c>
      <c r="D36" s="13" t="s">
        <v>127</v>
      </c>
      <c r="E36" s="13" t="s">
        <v>126</v>
      </c>
      <c r="F36" s="13" t="s">
        <v>30</v>
      </c>
      <c r="G36" s="13" t="s">
        <v>75</v>
      </c>
      <c r="H36" s="14" t="s">
        <v>76</v>
      </c>
      <c r="J36" s="55"/>
    </row>
    <row r="37" spans="2:10" x14ac:dyDescent="0.3">
      <c r="B37" s="39" t="s">
        <v>0</v>
      </c>
      <c r="C37" s="98">
        <f>D24-C24</f>
        <v>-10000</v>
      </c>
      <c r="D37" s="98">
        <v>-10000</v>
      </c>
      <c r="E37" s="98">
        <v>0</v>
      </c>
      <c r="F37" s="98">
        <v>0</v>
      </c>
      <c r="G37" s="98">
        <v>0</v>
      </c>
      <c r="H37" s="99">
        <v>0</v>
      </c>
      <c r="J37" s="55"/>
    </row>
    <row r="38" spans="2:10" x14ac:dyDescent="0.3">
      <c r="B38" s="39" t="s">
        <v>1</v>
      </c>
      <c r="C38" s="98">
        <f>D25-C25</f>
        <v>-20000</v>
      </c>
      <c r="D38" s="98">
        <f>C38</f>
        <v>-20000</v>
      </c>
      <c r="E38" s="98">
        <v>0</v>
      </c>
      <c r="F38" s="98">
        <v>0</v>
      </c>
      <c r="G38" s="98">
        <v>0</v>
      </c>
      <c r="H38" s="99">
        <v>0</v>
      </c>
      <c r="J38" s="55"/>
    </row>
    <row r="39" spans="2:10" x14ac:dyDescent="0.3">
      <c r="B39" s="39" t="s">
        <v>2</v>
      </c>
      <c r="C39" s="98">
        <f t="shared" ref="C39" si="0">D26-C26</f>
        <v>0</v>
      </c>
      <c r="D39" s="98">
        <v>0</v>
      </c>
      <c r="E39" s="98">
        <v>0</v>
      </c>
      <c r="F39" s="98">
        <v>0</v>
      </c>
      <c r="G39" s="98">
        <v>0</v>
      </c>
      <c r="H39" s="99">
        <v>0</v>
      </c>
      <c r="J39" s="55"/>
    </row>
    <row r="40" spans="2:10" x14ac:dyDescent="0.3">
      <c r="B40" s="39" t="s">
        <v>5</v>
      </c>
      <c r="C40" s="98">
        <f>D27-C27</f>
        <v>150000</v>
      </c>
      <c r="D40" s="98">
        <f>C40</f>
        <v>150000</v>
      </c>
      <c r="E40" s="98">
        <v>0</v>
      </c>
      <c r="F40" s="98">
        <v>0</v>
      </c>
      <c r="G40" s="98">
        <v>0</v>
      </c>
      <c r="H40" s="99">
        <v>0</v>
      </c>
      <c r="J40" s="55"/>
    </row>
    <row r="41" spans="2:10" x14ac:dyDescent="0.3">
      <c r="B41" s="39" t="s">
        <v>25</v>
      </c>
      <c r="C41" s="98">
        <f>D28-C28</f>
        <v>-1400000</v>
      </c>
      <c r="D41" s="98">
        <v>-25000</v>
      </c>
      <c r="E41" s="98">
        <v>0</v>
      </c>
      <c r="F41" s="98">
        <v>-800000</v>
      </c>
      <c r="G41" s="98">
        <f>C41-D41-F41</f>
        <v>-575000</v>
      </c>
      <c r="H41" s="99">
        <v>0</v>
      </c>
      <c r="J41" s="55"/>
    </row>
    <row r="42" spans="2:10" x14ac:dyDescent="0.3">
      <c r="B42" s="40" t="s">
        <v>4</v>
      </c>
      <c r="C42" s="102">
        <f>SUM(C37:C41)</f>
        <v>-1280000</v>
      </c>
      <c r="D42" s="102">
        <f>SUM(D37:D41)</f>
        <v>95000</v>
      </c>
      <c r="E42" s="102">
        <f t="shared" ref="E42:H42" si="1">SUM(E37:E41)</f>
        <v>0</v>
      </c>
      <c r="F42" s="102">
        <f t="shared" si="1"/>
        <v>-800000</v>
      </c>
      <c r="G42" s="102">
        <f t="shared" si="1"/>
        <v>-575000</v>
      </c>
      <c r="H42" s="103">
        <f t="shared" si="1"/>
        <v>0</v>
      </c>
      <c r="J42" s="55"/>
    </row>
    <row r="43" spans="2:10" x14ac:dyDescent="0.3">
      <c r="E43" s="3"/>
      <c r="F43" s="3"/>
      <c r="G43"/>
      <c r="J43" s="55"/>
    </row>
    <row r="44" spans="2:10" x14ac:dyDescent="0.3">
      <c r="E44" s="3"/>
      <c r="F44" s="3"/>
      <c r="G44"/>
      <c r="J44" s="55"/>
    </row>
    <row r="45" spans="2:10" x14ac:dyDescent="0.3">
      <c r="E45" s="80"/>
      <c r="F45" s="3"/>
      <c r="G45"/>
    </row>
    <row r="46" spans="2:10" s="12" customFormat="1" ht="22.95" customHeight="1" x14ac:dyDescent="0.3">
      <c r="B46" s="17" t="s">
        <v>59</v>
      </c>
    </row>
    <row r="47" spans="2:10" ht="13.95" customHeight="1" x14ac:dyDescent="0.3"/>
    <row r="48" spans="2:10" ht="18" customHeight="1" x14ac:dyDescent="0.3">
      <c r="B48" s="35" t="s">
        <v>24</v>
      </c>
      <c r="C48" s="49"/>
      <c r="D48" s="50"/>
    </row>
    <row r="49" spans="2:13" ht="17.25" customHeight="1" x14ac:dyDescent="0.35">
      <c r="B49" s="7"/>
      <c r="C49" s="13" t="s">
        <v>22</v>
      </c>
      <c r="D49" s="14" t="s">
        <v>23</v>
      </c>
      <c r="J49" s="34"/>
    </row>
    <row r="50" spans="2:13" ht="13.95" customHeight="1" x14ac:dyDescent="0.3">
      <c r="B50" s="76" t="s">
        <v>48</v>
      </c>
      <c r="C50" s="104">
        <v>0</v>
      </c>
      <c r="D50" s="105">
        <f>1-C50</f>
        <v>1</v>
      </c>
      <c r="J50" s="34"/>
    </row>
    <row r="51" spans="2:13" ht="13.95" customHeight="1" x14ac:dyDescent="0.3">
      <c r="B51" s="76" t="s">
        <v>47</v>
      </c>
      <c r="C51" s="104">
        <v>0.5</v>
      </c>
      <c r="D51" s="105">
        <f>1-C51</f>
        <v>0.5</v>
      </c>
      <c r="J51" s="34"/>
    </row>
    <row r="52" spans="2:13" ht="13.95" customHeight="1" x14ac:dyDescent="0.3">
      <c r="B52" s="78" t="s">
        <v>49</v>
      </c>
      <c r="C52" s="106">
        <v>1</v>
      </c>
      <c r="D52" s="107">
        <f>1-C52</f>
        <v>0</v>
      </c>
      <c r="I52" s="34"/>
      <c r="J52" s="34"/>
    </row>
    <row r="53" spans="2:13" ht="13.95" customHeight="1" x14ac:dyDescent="0.3"/>
    <row r="54" spans="2:13" ht="13.95" customHeight="1" x14ac:dyDescent="0.3">
      <c r="B54" s="35" t="s">
        <v>26</v>
      </c>
      <c r="C54" s="36"/>
      <c r="D54" s="37"/>
    </row>
    <row r="55" spans="2:13" ht="13.95" customHeight="1" x14ac:dyDescent="0.3">
      <c r="B55" s="73"/>
      <c r="C55" s="134" t="s">
        <v>22</v>
      </c>
      <c r="D55" s="135" t="s">
        <v>23</v>
      </c>
    </row>
    <row r="56" spans="2:13" ht="13.95" customHeight="1" x14ac:dyDescent="0.3">
      <c r="B56" s="133" t="s">
        <v>47</v>
      </c>
      <c r="C56" s="136">
        <f>VLOOKUP(B56,$B$50:$D$52,2,FALSE)</f>
        <v>0.5</v>
      </c>
      <c r="D56" s="137">
        <f>VLOOKUP(B56,$B$50:$D$52,3,FALSE)</f>
        <v>0.5</v>
      </c>
    </row>
    <row r="57" spans="2:13" ht="13.95" customHeight="1" x14ac:dyDescent="0.3"/>
    <row r="59" spans="2:13" s="12" customFormat="1" ht="22.95" customHeight="1" x14ac:dyDescent="0.3">
      <c r="B59" s="17" t="s">
        <v>58</v>
      </c>
    </row>
    <row r="61" spans="2:13" s="38" customFormat="1" ht="21.75" customHeight="1" x14ac:dyDescent="0.3">
      <c r="B61" s="35" t="s">
        <v>52</v>
      </c>
      <c r="C61" s="36"/>
      <c r="D61" s="36"/>
      <c r="E61" s="37"/>
      <c r="L61"/>
      <c r="M61"/>
    </row>
    <row r="62" spans="2:13" ht="36" customHeight="1" x14ac:dyDescent="0.3">
      <c r="B62" s="8"/>
      <c r="C62" s="13" t="s">
        <v>14</v>
      </c>
      <c r="D62" s="13" t="s">
        <v>15</v>
      </c>
      <c r="E62" s="110" t="s">
        <v>10</v>
      </c>
    </row>
    <row r="63" spans="2:13" x14ac:dyDescent="0.3">
      <c r="B63" s="39" t="s">
        <v>0</v>
      </c>
      <c r="C63" s="111">
        <f>E14/E$19</f>
        <v>0.25</v>
      </c>
      <c r="D63" s="112">
        <f>D24/D$29</f>
        <v>3.0888030888030888E-3</v>
      </c>
      <c r="E63" s="119">
        <f>(C63*$D$56)+(D63*$C$56)</f>
        <v>0.12654440154440155</v>
      </c>
    </row>
    <row r="64" spans="2:13" x14ac:dyDescent="0.3">
      <c r="B64" s="39" t="s">
        <v>1</v>
      </c>
      <c r="C64" s="111">
        <f>E15/E$19</f>
        <v>0.25</v>
      </c>
      <c r="D64" s="112">
        <f>D25/D$29</f>
        <v>4.633204633204633E-3</v>
      </c>
      <c r="E64" s="119">
        <f t="shared" ref="E64:E66" si="2">(C64*$D$56)+(D64*$C$56)</f>
        <v>0.12731660231660233</v>
      </c>
    </row>
    <row r="65" spans="2:5" x14ac:dyDescent="0.3">
      <c r="B65" s="39" t="s">
        <v>2</v>
      </c>
      <c r="C65" s="111">
        <f>E16/E$19</f>
        <v>0.16666666666666666</v>
      </c>
      <c r="D65" s="112">
        <f>D26/D$29</f>
        <v>0.92664092664092668</v>
      </c>
      <c r="E65" s="119">
        <f t="shared" si="2"/>
        <v>0.54665379665379665</v>
      </c>
    </row>
    <row r="66" spans="2:5" x14ac:dyDescent="0.3">
      <c r="B66" s="39" t="s">
        <v>5</v>
      </c>
      <c r="C66" s="111">
        <f>E17/E$19</f>
        <v>0.16666666666666666</v>
      </c>
      <c r="D66" s="112">
        <f>D27/D$29</f>
        <v>5.7915057915057917E-2</v>
      </c>
      <c r="E66" s="119">
        <f t="shared" si="2"/>
        <v>0.11229086229086228</v>
      </c>
    </row>
    <row r="67" spans="2:5" x14ac:dyDescent="0.3">
      <c r="B67" s="39" t="s">
        <v>25</v>
      </c>
      <c r="C67" s="111">
        <f>E18/E$19</f>
        <v>0.16666666666666666</v>
      </c>
      <c r="D67" s="112">
        <f>D28/D$29</f>
        <v>7.7220077220077222E-3</v>
      </c>
      <c r="E67" s="119">
        <f t="shared" ref="E67" si="3">(C67*$D$56)+(D67*$C$56)</f>
        <v>8.7194337194337196E-2</v>
      </c>
    </row>
    <row r="68" spans="2:5" x14ac:dyDescent="0.3">
      <c r="B68" s="40" t="s">
        <v>4</v>
      </c>
      <c r="C68" s="175">
        <f>SUM(C63:C67)</f>
        <v>0.99999999999999989</v>
      </c>
      <c r="D68" s="175">
        <f>SUM(D63:D67)</f>
        <v>1</v>
      </c>
      <c r="E68" s="176">
        <f>SUM(E63:E67)</f>
        <v>1</v>
      </c>
    </row>
    <row r="69" spans="2:5" ht="13.95" customHeight="1" x14ac:dyDescent="0.3"/>
    <row r="70" spans="2:5" ht="13.95" customHeight="1" x14ac:dyDescent="0.3"/>
    <row r="71" spans="2:5" s="12" customFormat="1" ht="22.95" customHeight="1" x14ac:dyDescent="0.3">
      <c r="B71" s="17" t="s">
        <v>60</v>
      </c>
    </row>
    <row r="73" spans="2:5" s="27" customFormat="1" ht="22.95" customHeight="1" x14ac:dyDescent="0.3">
      <c r="B73" s="26" t="s">
        <v>124</v>
      </c>
    </row>
    <row r="75" spans="2:5" x14ac:dyDescent="0.3">
      <c r="B75" s="35" t="s">
        <v>77</v>
      </c>
      <c r="C75" s="9"/>
      <c r="D75" s="10"/>
    </row>
    <row r="76" spans="2:5" x14ac:dyDescent="0.3">
      <c r="B76" s="18"/>
      <c r="C76" s="21" t="s">
        <v>10</v>
      </c>
      <c r="D76" s="22" t="s">
        <v>20</v>
      </c>
    </row>
    <row r="77" spans="2:5" x14ac:dyDescent="0.3">
      <c r="B77" s="39" t="s">
        <v>0</v>
      </c>
      <c r="C77" s="138">
        <f>E63</f>
        <v>0.12654440154440155</v>
      </c>
      <c r="D77" s="139">
        <f>D24/C24-1</f>
        <v>-0.19999999999999996</v>
      </c>
    </row>
    <row r="78" spans="2:5" x14ac:dyDescent="0.3">
      <c r="B78" s="39" t="s">
        <v>1</v>
      </c>
      <c r="C78" s="138">
        <f t="shared" ref="C78:C81" si="4">E64</f>
        <v>0.12731660231660233</v>
      </c>
      <c r="D78" s="139">
        <f>D25/C25-1</f>
        <v>-0.25</v>
      </c>
    </row>
    <row r="79" spans="2:5" x14ac:dyDescent="0.3">
      <c r="B79" s="39" t="s">
        <v>2</v>
      </c>
      <c r="C79" s="138">
        <f t="shared" si="4"/>
        <v>0.54665379665379665</v>
      </c>
      <c r="D79" s="139">
        <f>D26/C26-1</f>
        <v>0</v>
      </c>
    </row>
    <row r="80" spans="2:5" x14ac:dyDescent="0.3">
      <c r="B80" s="39" t="s">
        <v>5</v>
      </c>
      <c r="C80" s="138">
        <f t="shared" si="4"/>
        <v>0.11229086229086228</v>
      </c>
      <c r="D80" s="139">
        <f>D27/C27-1</f>
        <v>0.25</v>
      </c>
    </row>
    <row r="81" spans="2:4" x14ac:dyDescent="0.3">
      <c r="B81" s="39" t="s">
        <v>25</v>
      </c>
      <c r="C81" s="138">
        <f t="shared" si="4"/>
        <v>8.7194337194337196E-2</v>
      </c>
      <c r="D81" s="139">
        <f>D28/C28-1</f>
        <v>-0.93333333333333335</v>
      </c>
    </row>
    <row r="82" spans="2:4" x14ac:dyDescent="0.3">
      <c r="B82" s="72" t="s">
        <v>16</v>
      </c>
      <c r="C82" s="140"/>
      <c r="D82" s="141">
        <f>SUMPRODUCT(E63:E67,D77:D81)</f>
        <v>-0.11044669669669671</v>
      </c>
    </row>
    <row r="85" spans="2:4" s="27" customFormat="1" ht="22.95" customHeight="1" x14ac:dyDescent="0.3">
      <c r="B85" s="26" t="s">
        <v>125</v>
      </c>
    </row>
    <row r="87" spans="2:4" x14ac:dyDescent="0.3">
      <c r="B87" s="35" t="s">
        <v>83</v>
      </c>
      <c r="C87" s="36"/>
      <c r="D87" s="37"/>
    </row>
    <row r="88" spans="2:4" ht="15.6" x14ac:dyDescent="0.3">
      <c r="B88" s="65"/>
      <c r="C88" s="187" t="s">
        <v>115</v>
      </c>
      <c r="D88" s="188"/>
    </row>
    <row r="89" spans="2:4" x14ac:dyDescent="0.3">
      <c r="B89" s="8"/>
      <c r="C89" s="13" t="s">
        <v>18</v>
      </c>
      <c r="D89" s="14" t="s">
        <v>8</v>
      </c>
    </row>
    <row r="90" spans="2:4" x14ac:dyDescent="0.3">
      <c r="B90" s="39" t="s">
        <v>0</v>
      </c>
      <c r="C90" s="145">
        <f>C24+SUM(F37:H37)</f>
        <v>50000</v>
      </c>
      <c r="D90" s="147">
        <f t="shared" ref="D90:D92" si="5">C90+SUM(D37:E37)</f>
        <v>40000</v>
      </c>
    </row>
    <row r="91" spans="2:4" x14ac:dyDescent="0.3">
      <c r="B91" s="39" t="s">
        <v>1</v>
      </c>
      <c r="C91" s="145">
        <f>C25+SUM(F38:H38)</f>
        <v>80000</v>
      </c>
      <c r="D91" s="147">
        <f t="shared" si="5"/>
        <v>60000</v>
      </c>
    </row>
    <row r="92" spans="2:4" x14ac:dyDescent="0.3">
      <c r="B92" s="39" t="s">
        <v>2</v>
      </c>
      <c r="C92" s="145">
        <f t="shared" ref="C92:C93" si="6">C26+SUM(F39:H39)</f>
        <v>12000000</v>
      </c>
      <c r="D92" s="147">
        <f t="shared" si="5"/>
        <v>12000000</v>
      </c>
    </row>
    <row r="93" spans="2:4" x14ac:dyDescent="0.3">
      <c r="B93" s="39" t="s">
        <v>5</v>
      </c>
      <c r="C93" s="145">
        <f t="shared" si="6"/>
        <v>600000</v>
      </c>
      <c r="D93" s="147">
        <f>C93+SUM(D40:E40)</f>
        <v>750000</v>
      </c>
    </row>
    <row r="94" spans="2:4" x14ac:dyDescent="0.3">
      <c r="B94" s="39" t="s">
        <v>25</v>
      </c>
      <c r="C94" s="144">
        <f>C28+SUM(F41:H41)</f>
        <v>125000</v>
      </c>
      <c r="D94" s="146">
        <f>C94+SUM(D41:E41)</f>
        <v>100000</v>
      </c>
    </row>
    <row r="95" spans="2:4" x14ac:dyDescent="0.3">
      <c r="B95" s="40" t="s">
        <v>4</v>
      </c>
      <c r="C95" s="102">
        <f>SUM(C90:C94)</f>
        <v>12855000</v>
      </c>
      <c r="D95" s="103">
        <f>SUM(D90:D94)</f>
        <v>12950000</v>
      </c>
    </row>
    <row r="97" spans="2:4" x14ac:dyDescent="0.3">
      <c r="B97" s="35" t="s">
        <v>82</v>
      </c>
      <c r="C97" s="9"/>
      <c r="D97" s="10"/>
    </row>
    <row r="98" spans="2:4" x14ac:dyDescent="0.3">
      <c r="B98" s="18"/>
      <c r="C98" s="21" t="s">
        <v>81</v>
      </c>
      <c r="D98" s="22" t="s">
        <v>20</v>
      </c>
    </row>
    <row r="99" spans="2:4" x14ac:dyDescent="0.3">
      <c r="B99" s="39" t="s">
        <v>0</v>
      </c>
      <c r="C99" s="138">
        <f>E63</f>
        <v>0.12654440154440155</v>
      </c>
      <c r="D99" s="139">
        <f>D90/C90-1</f>
        <v>-0.19999999999999996</v>
      </c>
    </row>
    <row r="100" spans="2:4" x14ac:dyDescent="0.3">
      <c r="B100" s="39" t="s">
        <v>1</v>
      </c>
      <c r="C100" s="138">
        <f>E64</f>
        <v>0.12731660231660233</v>
      </c>
      <c r="D100" s="139">
        <f t="shared" ref="D100:D102" si="7">D91/C91-1</f>
        <v>-0.25</v>
      </c>
    </row>
    <row r="101" spans="2:4" x14ac:dyDescent="0.3">
      <c r="B101" s="39" t="s">
        <v>2</v>
      </c>
      <c r="C101" s="138">
        <f>E65</f>
        <v>0.54665379665379665</v>
      </c>
      <c r="D101" s="139">
        <f t="shared" si="7"/>
        <v>0</v>
      </c>
    </row>
    <row r="102" spans="2:4" x14ac:dyDescent="0.3">
      <c r="B102" s="39" t="s">
        <v>5</v>
      </c>
      <c r="C102" s="138">
        <f>E66</f>
        <v>0.11229086229086228</v>
      </c>
      <c r="D102" s="139">
        <f t="shared" si="7"/>
        <v>0.25</v>
      </c>
    </row>
    <row r="103" spans="2:4" x14ac:dyDescent="0.3">
      <c r="B103" s="39" t="s">
        <v>25</v>
      </c>
      <c r="C103" s="138">
        <f>E67</f>
        <v>8.7194337194337196E-2</v>
      </c>
      <c r="D103" s="142">
        <f>D94/C94-1</f>
        <v>-0.19999999999999996</v>
      </c>
    </row>
    <row r="104" spans="2:4" x14ac:dyDescent="0.3">
      <c r="B104" s="72" t="s">
        <v>16</v>
      </c>
      <c r="C104" s="140"/>
      <c r="D104" s="141">
        <f>SUMPRODUCT(C99:C103,D99:D103)</f>
        <v>-4.6504182754182756E-2</v>
      </c>
    </row>
    <row r="107" spans="2:4" s="27" customFormat="1" ht="22.95" customHeight="1" x14ac:dyDescent="0.3">
      <c r="B107" s="26" t="s">
        <v>129</v>
      </c>
    </row>
    <row r="109" spans="2:4" x14ac:dyDescent="0.3">
      <c r="B109" s="35" t="s">
        <v>130</v>
      </c>
      <c r="C109" s="50"/>
    </row>
    <row r="110" spans="2:4" x14ac:dyDescent="0.3">
      <c r="B110" s="76" t="s">
        <v>79</v>
      </c>
      <c r="C110" s="77">
        <v>0.75</v>
      </c>
    </row>
    <row r="111" spans="2:4" x14ac:dyDescent="0.3">
      <c r="B111" s="78" t="s">
        <v>78</v>
      </c>
      <c r="C111" s="63">
        <v>-0.75</v>
      </c>
    </row>
    <row r="113" spans="2:6" x14ac:dyDescent="0.3">
      <c r="B113" s="35" t="s">
        <v>82</v>
      </c>
      <c r="C113" s="9"/>
      <c r="D113" s="9"/>
      <c r="E113" s="10"/>
    </row>
    <row r="114" spans="2:6" ht="28.8" x14ac:dyDescent="0.3">
      <c r="B114" s="18"/>
      <c r="C114" s="83" t="s">
        <v>80</v>
      </c>
      <c r="D114" s="21" t="s">
        <v>81</v>
      </c>
      <c r="E114" s="22" t="s">
        <v>20</v>
      </c>
    </row>
    <row r="115" spans="2:6" x14ac:dyDescent="0.3">
      <c r="B115" s="39" t="s">
        <v>0</v>
      </c>
      <c r="C115" s="143">
        <f>IF(OR(D77&gt;$C$110,D77&lt;$C$111),0,1)</f>
        <v>1</v>
      </c>
      <c r="D115" s="138">
        <f>IF(C115=1,$C$56*D24/SUMPRODUCT($D$24:$D$28,$C$115:$C$119)+$D$56*E14/SUMPRODUCT($E$14:$E$18,$C$115:$C$119),"N/A")</f>
        <v>0.15155642023346302</v>
      </c>
      <c r="E115" s="139">
        <f>IF(C115=1,D77,"N/A")</f>
        <v>-0.19999999999999996</v>
      </c>
      <c r="F115" s="33"/>
    </row>
    <row r="116" spans="2:6" x14ac:dyDescent="0.3">
      <c r="B116" s="39" t="s">
        <v>1</v>
      </c>
      <c r="C116" s="143">
        <f t="shared" ref="C116:C119" si="8">IF(OR(D78&gt;$C$110,D78&lt;$C$111),0,1)</f>
        <v>1</v>
      </c>
      <c r="D116" s="138">
        <f t="shared" ref="D116:D119" si="9">IF(C116=1,$C$56*D25/SUMPRODUCT($D$24:$D$28,$C$115:$C$119)+$D$56*E15/SUMPRODUCT($E$14:$E$18,$C$115:$C$119),"N/A")</f>
        <v>0.15233463035019454</v>
      </c>
      <c r="E116" s="139">
        <f t="shared" ref="E116:E119" si="10">IF(C116=1,D78,"N/A")</f>
        <v>-0.25</v>
      </c>
    </row>
    <row r="117" spans="2:6" x14ac:dyDescent="0.3">
      <c r="B117" s="39" t="s">
        <v>2</v>
      </c>
      <c r="C117" s="143">
        <f t="shared" si="8"/>
        <v>1</v>
      </c>
      <c r="D117" s="138">
        <f t="shared" si="9"/>
        <v>0.56692607003891049</v>
      </c>
      <c r="E117" s="139">
        <f t="shared" si="10"/>
        <v>0</v>
      </c>
    </row>
    <row r="118" spans="2:6" x14ac:dyDescent="0.3">
      <c r="B118" s="39" t="s">
        <v>5</v>
      </c>
      <c r="C118" s="143">
        <f t="shared" si="8"/>
        <v>1</v>
      </c>
      <c r="D118" s="138">
        <f t="shared" si="9"/>
        <v>0.12918287937743192</v>
      </c>
      <c r="E118" s="139">
        <f t="shared" si="10"/>
        <v>0.25</v>
      </c>
    </row>
    <row r="119" spans="2:6" x14ac:dyDescent="0.3">
      <c r="B119" s="39" t="s">
        <v>25</v>
      </c>
      <c r="C119" s="143">
        <f t="shared" si="8"/>
        <v>0</v>
      </c>
      <c r="D119" s="138" t="str">
        <f t="shared" si="9"/>
        <v>N/A</v>
      </c>
      <c r="E119" s="139" t="str">
        <f t="shared" si="10"/>
        <v>N/A</v>
      </c>
    </row>
    <row r="120" spans="2:6" x14ac:dyDescent="0.3">
      <c r="B120" s="72" t="s">
        <v>16</v>
      </c>
      <c r="C120" s="140"/>
      <c r="D120" s="140"/>
      <c r="E120" s="141">
        <f>SUMPRODUCT(D115:D119,E115:E119)</f>
        <v>-3.609922178988325E-2</v>
      </c>
    </row>
  </sheetData>
  <mergeCells count="5">
    <mergeCell ref="C35:H35"/>
    <mergeCell ref="D12:E12"/>
    <mergeCell ref="C22:D22"/>
    <mergeCell ref="C88:D88"/>
    <mergeCell ref="B2:E2"/>
  </mergeCells>
  <dataValidations count="1">
    <dataValidation type="list" allowBlank="1" showInputMessage="1" showErrorMessage="1" sqref="B56">
      <formula1>$B$50:$B$52</formula1>
    </dataValidation>
  </dataValidations>
  <pageMargins left="0.7" right="0.7" top="0.78740157499999996" bottom="0.78740157499999996" header="0.3" footer="0.3"/>
  <pageSetup paperSize="9" orientation="portrait" r:id="rId1"/>
  <headerFooter>
    <oddHeader>&amp;C&amp;"Calibri"&amp;10&amp;K000000Umweltbundesamt GmbH - intern&amp;1#</oddHeader>
    <oddFooter>&amp;C&amp;1#&amp;"Calibri"&amp;10&amp;K000000Umweltbundesamt GmbH - intern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68E4D"/>
  </sheetPr>
  <dimension ref="A1:J69"/>
  <sheetViews>
    <sheetView showGridLines="0" tabSelected="1" zoomScale="85" zoomScaleNormal="85" workbookViewId="0">
      <selection activeCell="J11" sqref="J11"/>
    </sheetView>
  </sheetViews>
  <sheetFormatPr baseColWidth="10" defaultRowHeight="14.4" x14ac:dyDescent="0.3"/>
  <cols>
    <col min="1" max="1" width="18.5546875" customWidth="1"/>
    <col min="2" max="2" width="75.44140625" customWidth="1"/>
    <col min="3" max="6" width="10.21875" customWidth="1"/>
    <col min="7" max="7" width="10.21875" style="4" customWidth="1"/>
    <col min="8" max="9" width="10.21875" customWidth="1"/>
    <col min="10" max="13" width="14.5546875" customWidth="1"/>
  </cols>
  <sheetData>
    <row r="1" spans="1:10" ht="25.8" x14ac:dyDescent="0.5">
      <c r="A1" s="3"/>
      <c r="B1" s="2" t="s">
        <v>146</v>
      </c>
      <c r="D1" s="3"/>
      <c r="E1" s="3"/>
      <c r="F1" s="3"/>
      <c r="G1"/>
    </row>
    <row r="2" spans="1:10" ht="30" customHeight="1" x14ac:dyDescent="0.3">
      <c r="A2" s="3"/>
      <c r="B2" s="191" t="s">
        <v>84</v>
      </c>
      <c r="C2" s="191"/>
      <c r="D2" s="191"/>
      <c r="E2" s="191"/>
      <c r="F2" s="3"/>
      <c r="G2"/>
    </row>
    <row r="3" spans="1:10" x14ac:dyDescent="0.3">
      <c r="A3" s="3"/>
      <c r="B3" s="1"/>
      <c r="D3" s="3"/>
      <c r="E3" s="3"/>
      <c r="F3" s="3"/>
      <c r="G3"/>
    </row>
    <row r="4" spans="1:10" x14ac:dyDescent="0.3">
      <c r="A4" s="3"/>
      <c r="B4" s="19" t="s">
        <v>6</v>
      </c>
      <c r="C4" s="9"/>
      <c r="D4" s="9"/>
      <c r="E4" s="9"/>
      <c r="F4" s="10"/>
      <c r="G4"/>
    </row>
    <row r="5" spans="1:10" x14ac:dyDescent="0.3">
      <c r="A5" s="3"/>
      <c r="B5" s="198" t="s">
        <v>7</v>
      </c>
      <c r="C5" s="199" t="s">
        <v>11</v>
      </c>
      <c r="D5" s="199"/>
      <c r="E5" s="200" t="s">
        <v>12</v>
      </c>
      <c r="F5" s="201"/>
      <c r="G5"/>
    </row>
    <row r="6" spans="1:10" x14ac:dyDescent="0.3">
      <c r="E6" s="3"/>
      <c r="F6" s="3"/>
      <c r="G6"/>
    </row>
    <row r="7" spans="1:10" s="60" customFormat="1" ht="22.95" customHeight="1" x14ac:dyDescent="0.3">
      <c r="B7" s="61" t="s">
        <v>133</v>
      </c>
    </row>
    <row r="8" spans="1:10" x14ac:dyDescent="0.3">
      <c r="E8" s="3"/>
      <c r="F8" s="3"/>
      <c r="G8"/>
    </row>
    <row r="9" spans="1:10" s="12" customFormat="1" ht="22.95" customHeight="1" x14ac:dyDescent="0.3">
      <c r="B9" s="17" t="s">
        <v>17</v>
      </c>
    </row>
    <row r="10" spans="1:10" x14ac:dyDescent="0.3">
      <c r="E10" s="3"/>
      <c r="F10" s="3"/>
      <c r="G10"/>
    </row>
    <row r="11" spans="1:10" ht="21" customHeight="1" x14ac:dyDescent="0.3">
      <c r="B11" s="35" t="s">
        <v>85</v>
      </c>
      <c r="C11" s="36"/>
      <c r="D11" s="36"/>
      <c r="E11" s="36"/>
      <c r="F11" s="36"/>
      <c r="G11" s="36"/>
      <c r="H11" s="36"/>
      <c r="I11" s="36"/>
      <c r="J11" s="37"/>
    </row>
    <row r="12" spans="1:10" x14ac:dyDescent="0.3">
      <c r="B12" s="15"/>
      <c r="C12" s="51">
        <v>2020</v>
      </c>
      <c r="D12" s="51">
        <v>2022</v>
      </c>
      <c r="E12" s="51">
        <v>2025</v>
      </c>
      <c r="F12" s="51">
        <v>2030</v>
      </c>
      <c r="G12" s="51">
        <v>2035</v>
      </c>
      <c r="H12" s="51">
        <v>2040</v>
      </c>
      <c r="I12" s="51">
        <v>2045</v>
      </c>
      <c r="J12" s="52">
        <v>2050</v>
      </c>
    </row>
    <row r="13" spans="1:10" ht="15" customHeight="1" x14ac:dyDescent="0.35">
      <c r="B13" s="148" t="s">
        <v>132</v>
      </c>
      <c r="C13" s="177">
        <v>30000</v>
      </c>
      <c r="D13" s="177">
        <v>39500</v>
      </c>
      <c r="E13" s="177">
        <v>21000</v>
      </c>
      <c r="F13" s="177">
        <v>14500</v>
      </c>
      <c r="G13" s="177">
        <v>9000</v>
      </c>
      <c r="H13" s="177">
        <v>5000</v>
      </c>
      <c r="I13" s="177">
        <v>2500</v>
      </c>
      <c r="J13" s="178">
        <v>0</v>
      </c>
    </row>
    <row r="14" spans="1:10" x14ac:dyDescent="0.3">
      <c r="A14" s="3"/>
      <c r="B14" s="3"/>
      <c r="C14" s="3"/>
      <c r="D14" s="3"/>
      <c r="E14" s="3"/>
      <c r="F14" s="3"/>
      <c r="G14"/>
    </row>
    <row r="15" spans="1:10" ht="21" customHeight="1" x14ac:dyDescent="0.3">
      <c r="B15" s="35" t="s">
        <v>21</v>
      </c>
      <c r="C15" s="37"/>
      <c r="D15" s="91"/>
    </row>
    <row r="16" spans="1:10" x14ac:dyDescent="0.3">
      <c r="B16" s="15"/>
      <c r="C16" s="22" t="s">
        <v>33</v>
      </c>
    </row>
    <row r="17" spans="2:10" x14ac:dyDescent="0.3">
      <c r="B17" s="39" t="s">
        <v>34</v>
      </c>
      <c r="C17" s="149">
        <v>2020</v>
      </c>
    </row>
    <row r="18" spans="2:10" x14ac:dyDescent="0.3">
      <c r="B18" s="39" t="s">
        <v>35</v>
      </c>
      <c r="C18" s="149">
        <v>2030</v>
      </c>
    </row>
    <row r="19" spans="2:10" x14ac:dyDescent="0.3">
      <c r="B19" s="39" t="s">
        <v>36</v>
      </c>
      <c r="C19" s="149">
        <v>2025</v>
      </c>
    </row>
    <row r="20" spans="2:10" x14ac:dyDescent="0.3">
      <c r="B20" s="54" t="s">
        <v>87</v>
      </c>
      <c r="C20" s="150">
        <f>(F13/C13)^(1/(F12-C12))-1</f>
        <v>-7.0124779389855618E-2</v>
      </c>
      <c r="D20" s="33"/>
    </row>
    <row r="21" spans="2:10" x14ac:dyDescent="0.3">
      <c r="E21" s="3"/>
      <c r="F21" s="3"/>
      <c r="G21"/>
      <c r="J21" s="55"/>
    </row>
    <row r="22" spans="2:10" x14ac:dyDescent="0.3">
      <c r="B22" s="35" t="s">
        <v>136</v>
      </c>
      <c r="C22" s="9"/>
      <c r="D22" s="9"/>
      <c r="E22" s="9"/>
      <c r="F22" s="9"/>
      <c r="G22" s="10"/>
      <c r="J22" s="55"/>
    </row>
    <row r="23" spans="2:10" x14ac:dyDescent="0.3">
      <c r="B23" s="15"/>
      <c r="C23" s="51">
        <v>2021</v>
      </c>
      <c r="D23" s="51">
        <v>2022</v>
      </c>
      <c r="E23" s="51">
        <v>2023</v>
      </c>
      <c r="F23" s="51">
        <v>2024</v>
      </c>
      <c r="G23" s="52">
        <v>2025</v>
      </c>
      <c r="J23" s="55"/>
    </row>
    <row r="24" spans="2:10" x14ac:dyDescent="0.3">
      <c r="B24" s="54" t="s">
        <v>37</v>
      </c>
      <c r="C24" s="151">
        <v>-3.5000000000000003E-2</v>
      </c>
      <c r="D24" s="152">
        <v>-5.5E-2</v>
      </c>
      <c r="E24" s="153">
        <v>5.0000000000000001E-3</v>
      </c>
      <c r="F24" s="153">
        <v>-5.5E-2</v>
      </c>
      <c r="G24" s="157">
        <v>-8.5000000000000006E-2</v>
      </c>
      <c r="J24" s="55"/>
    </row>
    <row r="25" spans="2:10" x14ac:dyDescent="0.3">
      <c r="H25" s="64"/>
      <c r="J25" s="55"/>
    </row>
    <row r="26" spans="2:10" x14ac:dyDescent="0.3">
      <c r="H26" s="64"/>
      <c r="J26" s="55"/>
    </row>
    <row r="27" spans="2:10" s="12" customFormat="1" ht="22.95" customHeight="1" x14ac:dyDescent="0.3">
      <c r="B27" s="17" t="s">
        <v>29</v>
      </c>
    </row>
    <row r="28" spans="2:10" x14ac:dyDescent="0.3">
      <c r="G28"/>
    </row>
    <row r="29" spans="2:10" x14ac:dyDescent="0.3">
      <c r="B29" s="41" t="s">
        <v>86</v>
      </c>
      <c r="C29" s="68"/>
      <c r="G29"/>
    </row>
    <row r="30" spans="2:10" x14ac:dyDescent="0.3">
      <c r="B30" s="15"/>
      <c r="C30" s="22" t="s">
        <v>33</v>
      </c>
      <c r="G30"/>
    </row>
    <row r="31" spans="2:10" x14ac:dyDescent="0.3">
      <c r="B31" s="156" t="s">
        <v>137</v>
      </c>
      <c r="C31" s="155">
        <f>AVERAGE(C39:G39)</f>
        <v>-4.4999999999999998E-2</v>
      </c>
      <c r="G31"/>
    </row>
    <row r="32" spans="2:10" x14ac:dyDescent="0.3">
      <c r="B32" s="92" t="s">
        <v>141</v>
      </c>
      <c r="C32" s="154">
        <f>(C20*(C18-C17)-C31*(C19-C17))/(C18-C19)</f>
        <v>-9.5249558779711238E-2</v>
      </c>
      <c r="G32"/>
    </row>
    <row r="33" spans="2:10" x14ac:dyDescent="0.3">
      <c r="G33"/>
    </row>
    <row r="34" spans="2:10" x14ac:dyDescent="0.3">
      <c r="G34"/>
    </row>
    <row r="35" spans="2:10" s="12" customFormat="1" ht="22.95" customHeight="1" x14ac:dyDescent="0.3">
      <c r="B35" s="17" t="s">
        <v>88</v>
      </c>
    </row>
    <row r="36" spans="2:10" ht="13.95" customHeight="1" x14ac:dyDescent="0.3"/>
    <row r="37" spans="2:10" ht="17.25" customHeight="1" x14ac:dyDescent="0.3">
      <c r="B37" s="41" t="s">
        <v>90</v>
      </c>
      <c r="C37" s="5"/>
      <c r="D37" s="5"/>
      <c r="E37" s="5"/>
      <c r="F37" s="5"/>
      <c r="G37" s="5"/>
      <c r="H37" s="6"/>
      <c r="J37" s="34"/>
    </row>
    <row r="38" spans="2:10" ht="13.95" customHeight="1" x14ac:dyDescent="0.3">
      <c r="B38" s="15"/>
      <c r="C38" s="21">
        <f>C23</f>
        <v>2021</v>
      </c>
      <c r="D38" s="21">
        <f t="shared" ref="D38:G38" si="0">D23</f>
        <v>2022</v>
      </c>
      <c r="E38" s="21">
        <f t="shared" si="0"/>
        <v>2023</v>
      </c>
      <c r="F38" s="21">
        <f t="shared" si="0"/>
        <v>2024</v>
      </c>
      <c r="G38" s="21">
        <f t="shared" si="0"/>
        <v>2025</v>
      </c>
      <c r="H38" s="22" t="s">
        <v>140</v>
      </c>
      <c r="J38" s="34"/>
    </row>
    <row r="39" spans="2:10" ht="13.95" customHeight="1" x14ac:dyDescent="0.3">
      <c r="B39" s="39" t="s">
        <v>37</v>
      </c>
      <c r="C39" s="90">
        <f>C24</f>
        <v>-3.5000000000000003E-2</v>
      </c>
      <c r="D39" s="90">
        <f t="shared" ref="D39:G39" si="1">D24</f>
        <v>-5.5E-2</v>
      </c>
      <c r="E39" s="90">
        <f t="shared" si="1"/>
        <v>5.0000000000000001E-3</v>
      </c>
      <c r="F39" s="90">
        <f t="shared" si="1"/>
        <v>-5.5E-2</v>
      </c>
      <c r="G39" s="90">
        <f t="shared" si="1"/>
        <v>-8.5000000000000006E-2</v>
      </c>
      <c r="H39" s="94"/>
      <c r="J39" s="34"/>
    </row>
    <row r="40" spans="2:10" ht="13.95" customHeight="1" x14ac:dyDescent="0.3">
      <c r="B40" s="8" t="s">
        <v>138</v>
      </c>
      <c r="C40" s="88">
        <f>$C$31</f>
        <v>-4.4999999999999998E-2</v>
      </c>
      <c r="D40" s="88">
        <f>$C$31</f>
        <v>-4.4999999999999998E-2</v>
      </c>
      <c r="E40" s="88">
        <f>$C$31</f>
        <v>-4.4999999999999998E-2</v>
      </c>
      <c r="F40" s="88">
        <f>$C$31</f>
        <v>-4.4999999999999998E-2</v>
      </c>
      <c r="G40" s="88">
        <f>$C$31</f>
        <v>-4.4999999999999998E-2</v>
      </c>
      <c r="H40" s="94"/>
      <c r="J40" s="34"/>
    </row>
    <row r="41" spans="2:10" ht="13.95" customHeight="1" x14ac:dyDescent="0.3">
      <c r="B41" s="8" t="s">
        <v>42</v>
      </c>
      <c r="C41" s="88">
        <f>$C$20</f>
        <v>-7.0124779389855618E-2</v>
      </c>
      <c r="D41" s="88">
        <f>$C$20</f>
        <v>-7.0124779389855618E-2</v>
      </c>
      <c r="E41" s="88">
        <f>$C$20</f>
        <v>-7.0124779389855618E-2</v>
      </c>
      <c r="F41" s="88">
        <f>$C$20</f>
        <v>-7.0124779389855618E-2</v>
      </c>
      <c r="G41" s="88">
        <f>$C$20</f>
        <v>-7.0124779389855618E-2</v>
      </c>
      <c r="H41" s="94"/>
      <c r="J41" s="34"/>
    </row>
    <row r="42" spans="2:10" x14ac:dyDescent="0.3">
      <c r="B42" s="92" t="s">
        <v>139</v>
      </c>
      <c r="C42" s="93"/>
      <c r="D42" s="93"/>
      <c r="E42" s="93"/>
      <c r="F42" s="93"/>
      <c r="G42" s="93"/>
      <c r="H42" s="89">
        <f>$C$32</f>
        <v>-9.5249558779711238E-2</v>
      </c>
      <c r="J42" s="34"/>
    </row>
    <row r="43" spans="2:10" ht="13.95" customHeight="1" x14ac:dyDescent="0.3">
      <c r="J43" s="34"/>
    </row>
    <row r="44" spans="2:10" ht="13.95" customHeight="1" x14ac:dyDescent="0.3"/>
    <row r="45" spans="2:10" ht="13.95" customHeight="1" x14ac:dyDescent="0.3"/>
    <row r="46" spans="2:10" ht="13.95" customHeight="1" x14ac:dyDescent="0.3"/>
    <row r="66" spans="2:9" x14ac:dyDescent="0.3">
      <c r="B66" s="35" t="s">
        <v>89</v>
      </c>
      <c r="C66" s="36"/>
      <c r="D66" s="36"/>
      <c r="E66" s="36"/>
      <c r="F66" s="36"/>
      <c r="G66" s="36"/>
      <c r="H66" s="36"/>
      <c r="I66" s="37"/>
    </row>
    <row r="67" spans="2:9" ht="43.2" x14ac:dyDescent="0.3">
      <c r="B67" s="15"/>
      <c r="C67" s="83" t="s">
        <v>38</v>
      </c>
      <c r="D67" s="21">
        <v>2025</v>
      </c>
      <c r="E67" s="83" t="s">
        <v>39</v>
      </c>
      <c r="F67" s="21">
        <v>2035</v>
      </c>
      <c r="G67" s="21">
        <v>2040</v>
      </c>
      <c r="H67" s="21">
        <v>2045</v>
      </c>
      <c r="I67" s="22">
        <v>2050</v>
      </c>
    </row>
    <row r="68" spans="2:9" x14ac:dyDescent="0.3">
      <c r="B68" s="97" t="s">
        <v>40</v>
      </c>
      <c r="C68" s="98">
        <f>C13</f>
        <v>30000</v>
      </c>
      <c r="D68" s="98">
        <f t="shared" ref="D68:I68" si="2">E13</f>
        <v>21000</v>
      </c>
      <c r="E68" s="98">
        <f t="shared" si="2"/>
        <v>14500</v>
      </c>
      <c r="F68" s="98">
        <f t="shared" si="2"/>
        <v>9000</v>
      </c>
      <c r="G68" s="98">
        <f t="shared" si="2"/>
        <v>5000</v>
      </c>
      <c r="H68" s="98">
        <f t="shared" si="2"/>
        <v>2500</v>
      </c>
      <c r="I68" s="99">
        <f t="shared" si="2"/>
        <v>0</v>
      </c>
    </row>
    <row r="69" spans="2:9" x14ac:dyDescent="0.3">
      <c r="B69" s="54" t="s">
        <v>41</v>
      </c>
      <c r="C69" s="179">
        <f>C68</f>
        <v>30000</v>
      </c>
      <c r="D69" s="179">
        <f>SUM(C69,E69)/2</f>
        <v>22250</v>
      </c>
      <c r="E69" s="179">
        <f>E68</f>
        <v>14500</v>
      </c>
      <c r="F69" s="179"/>
      <c r="G69" s="179"/>
      <c r="H69" s="179"/>
      <c r="I69" s="180"/>
    </row>
  </sheetData>
  <mergeCells count="3">
    <mergeCell ref="B2:E2"/>
    <mergeCell ref="E5:F5"/>
    <mergeCell ref="C5:D5"/>
  </mergeCells>
  <pageMargins left="0.7" right="0.7" top="0.78740157499999996" bottom="0.78740157499999996" header="0.3" footer="0.3"/>
  <pageSetup paperSize="9" orientation="portrait" r:id="rId1"/>
  <headerFooter>
    <oddHeader>&amp;C&amp;"Calibri"&amp;10&amp;K000000Umweltbundesamt GmbH - intern&amp;1#</oddHeader>
    <oddFooter>&amp;C&amp;1#&amp;"Calibri"&amp;10&amp;K000000Umweltbundesamt GmbH - intern</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Overview</vt:lpstr>
      <vt:lpstr>General calculation method</vt:lpstr>
      <vt:lpstr>PCAF comparison</vt:lpstr>
      <vt:lpstr>Dealing with inconsistency</vt:lpstr>
      <vt:lpstr>Tracking progress</vt:lpstr>
    </vt:vector>
  </TitlesOfParts>
  <Company>Umweltbundesamt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Payami Pedram</dc:creator>
  <cp:lastModifiedBy>Glade Paul-Simon</cp:lastModifiedBy>
  <dcterms:created xsi:type="dcterms:W3CDTF">2024-05-15T06:02:03Z</dcterms:created>
  <dcterms:modified xsi:type="dcterms:W3CDTF">2025-06-06T08:29:01Z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42a7da2-0ea2-434f-998c-7f9668043cb7_Enabled">
    <vt:lpwstr>true</vt:lpwstr>
  </property>
  <property fmtid="{D5CDD505-2E9C-101B-9397-08002B2CF9AE}" pid="3" name="MSIP_Label_442a7da2-0ea2-434f-998c-7f9668043cb7_SetDate">
    <vt:lpwstr>2024-07-31T07:42:10Z</vt:lpwstr>
  </property>
  <property fmtid="{D5CDD505-2E9C-101B-9397-08002B2CF9AE}" pid="4" name="MSIP_Label_442a7da2-0ea2-434f-998c-7f9668043cb7_Method">
    <vt:lpwstr>Privileged</vt:lpwstr>
  </property>
  <property fmtid="{D5CDD505-2E9C-101B-9397-08002B2CF9AE}" pid="5" name="MSIP_Label_442a7da2-0ea2-434f-998c-7f9668043cb7_Name">
    <vt:lpwstr>Intern</vt:lpwstr>
  </property>
  <property fmtid="{D5CDD505-2E9C-101B-9397-08002B2CF9AE}" pid="6" name="MSIP_Label_442a7da2-0ea2-434f-998c-7f9668043cb7_SiteId">
    <vt:lpwstr>344fca12-964d-42f0-9c3b-ff24b97e2be7</vt:lpwstr>
  </property>
  <property fmtid="{D5CDD505-2E9C-101B-9397-08002B2CF9AE}" pid="7" name="MSIP_Label_442a7da2-0ea2-434f-998c-7f9668043cb7_ActionId">
    <vt:lpwstr>f73669c6-abe5-4eb9-8ea6-433b2f869b83</vt:lpwstr>
  </property>
  <property fmtid="{D5CDD505-2E9C-101B-9397-08002B2CF9AE}" pid="8" name="MSIP_Label_442a7da2-0ea2-434f-998c-7f9668043cb7_ContentBits">
    <vt:lpwstr>0</vt:lpwstr>
  </property>
</Properties>
</file>