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Y:\Intern\11_GF-Alliance\01_Methoden\I-PEPs\I-PEPs Final\"/>
    </mc:Choice>
  </mc:AlternateContent>
  <xr:revisionPtr revIDLastSave="0" documentId="13_ncr:1_{B6A237BE-EFC7-495E-A8CF-543DACB2EC2C}" xr6:coauthVersionLast="47" xr6:coauthVersionMax="47" xr10:uidLastSave="{00000000-0000-0000-0000-000000000000}"/>
  <bookViews>
    <workbookView xWindow="-120" yWindow="-120" windowWidth="29040" windowHeight="17640" tabRatio="747" xr2:uid="{00000000-000D-0000-FFFF-FFFF00000000}"/>
  </bookViews>
  <sheets>
    <sheet name="Overview" sheetId="45" r:id="rId1"/>
    <sheet name="General calculation method (1)" sheetId="51" r:id="rId2"/>
    <sheet name="General calculation method (2)" sheetId="52" r:id="rId3"/>
    <sheet name="PCAF comparison" sheetId="25" r:id="rId4"/>
    <sheet name="Dealing with inconsistency" sheetId="23" r:id="rId5"/>
    <sheet name="Tracking progress" sheetId="5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53" l="1"/>
  <c r="E121" i="23"/>
  <c r="D96" i="23"/>
  <c r="D83" i="23"/>
  <c r="D64" i="23"/>
  <c r="C64" i="23"/>
  <c r="D38" i="23"/>
  <c r="D39" i="23"/>
  <c r="C43" i="23"/>
  <c r="D114" i="25"/>
  <c r="C114" i="25"/>
  <c r="E113" i="25"/>
  <c r="D113" i="25"/>
  <c r="C113" i="25"/>
  <c r="E105" i="25"/>
  <c r="C105" i="25"/>
  <c r="D105" i="25"/>
  <c r="C91" i="25"/>
  <c r="C68" i="25"/>
  <c r="D68" i="25"/>
  <c r="G37" i="25"/>
  <c r="D51" i="52"/>
  <c r="D50" i="52"/>
  <c r="C50" i="52"/>
  <c r="D40" i="52"/>
  <c r="I69" i="53" l="1"/>
  <c r="H69" i="53"/>
  <c r="G69" i="53"/>
  <c r="F69" i="53"/>
  <c r="E69" i="53"/>
  <c r="E70" i="53" s="1"/>
  <c r="D69" i="53"/>
  <c r="C69" i="53"/>
  <c r="C70" i="53" s="1"/>
  <c r="D70" i="53" s="1"/>
  <c r="G40" i="53"/>
  <c r="F40" i="53"/>
  <c r="E40" i="53"/>
  <c r="D40" i="53"/>
  <c r="C32" i="53"/>
  <c r="G39" i="53"/>
  <c r="F39" i="53"/>
  <c r="E39" i="53"/>
  <c r="D39" i="53"/>
  <c r="C39" i="53"/>
  <c r="C21" i="53"/>
  <c r="G42" i="53" s="1"/>
  <c r="D20" i="52"/>
  <c r="C20" i="52"/>
  <c r="C40" i="52" s="1"/>
  <c r="C64" i="51"/>
  <c r="C63" i="51"/>
  <c r="C62" i="51"/>
  <c r="C61" i="51"/>
  <c r="D43" i="51"/>
  <c r="C43" i="51"/>
  <c r="D39" i="51"/>
  <c r="D38" i="51"/>
  <c r="D37" i="51"/>
  <c r="D30" i="51"/>
  <c r="D53" i="51" s="1"/>
  <c r="C30" i="51"/>
  <c r="E21" i="51"/>
  <c r="C53" i="51" s="1"/>
  <c r="D21" i="51"/>
  <c r="G41" i="53" l="1"/>
  <c r="F41" i="53"/>
  <c r="E41" i="53"/>
  <c r="D41" i="53"/>
  <c r="C41" i="53"/>
  <c r="C33" i="53"/>
  <c r="H43" i="53" s="1"/>
  <c r="C42" i="53"/>
  <c r="D42" i="53"/>
  <c r="F42" i="53"/>
  <c r="E42" i="53"/>
  <c r="C52" i="51"/>
  <c r="E53" i="51"/>
  <c r="C51" i="51"/>
  <c r="D52" i="51"/>
  <c r="E52" i="51" s="1"/>
  <c r="C41" i="52"/>
  <c r="D41" i="52"/>
  <c r="C42" i="52"/>
  <c r="D42" i="52"/>
  <c r="D51" i="51"/>
  <c r="C50" i="51"/>
  <c r="D50" i="51"/>
  <c r="E51" i="51" l="1"/>
  <c r="D43" i="52"/>
  <c r="C43" i="52"/>
  <c r="E50" i="51"/>
  <c r="C54" i="51"/>
  <c r="D54" i="51"/>
  <c r="E54" i="51" l="1"/>
  <c r="C65" i="51"/>
  <c r="D68" i="23" l="1"/>
  <c r="D95" i="23"/>
  <c r="E68" i="23"/>
  <c r="C41" i="23" l="1"/>
  <c r="C38" i="23"/>
  <c r="C92" i="23"/>
  <c r="C91" i="23"/>
  <c r="C39" i="23"/>
  <c r="C30" i="23"/>
  <c r="J37" i="25"/>
  <c r="I37" i="25"/>
  <c r="H37" i="25"/>
  <c r="D91" i="25" l="1"/>
  <c r="D29" i="25"/>
  <c r="C42" i="23" l="1"/>
  <c r="D91" i="23"/>
  <c r="C94" i="23"/>
  <c r="C93" i="23"/>
  <c r="D93" i="23" s="1"/>
  <c r="D100" i="23" l="1"/>
  <c r="C81" i="25" l="1"/>
  <c r="C80" i="25"/>
  <c r="C29" i="25"/>
  <c r="D35" i="25" l="1"/>
  <c r="C35" i="25"/>
  <c r="F35" i="25"/>
  <c r="E35" i="25"/>
  <c r="D102" i="23" l="1"/>
  <c r="D78" i="23" l="1"/>
  <c r="C116" i="23" s="1"/>
  <c r="E116" i="23" s="1"/>
  <c r="D82" i="23"/>
  <c r="C120" i="23" s="1"/>
  <c r="E43" i="23"/>
  <c r="F43" i="23"/>
  <c r="H43" i="23"/>
  <c r="G42" i="23"/>
  <c r="C95" i="23" s="1"/>
  <c r="C96" i="23" s="1"/>
  <c r="D30" i="23"/>
  <c r="E20" i="23"/>
  <c r="C68" i="23" s="1"/>
  <c r="D20" i="23"/>
  <c r="C40" i="23"/>
  <c r="D41" i="23"/>
  <c r="D94" i="23" s="1"/>
  <c r="D103" i="23" s="1"/>
  <c r="J35" i="25"/>
  <c r="I35" i="25"/>
  <c r="H35" i="25"/>
  <c r="G35" i="25"/>
  <c r="C83" i="25"/>
  <c r="C82" i="25"/>
  <c r="G69" i="25"/>
  <c r="F69" i="25"/>
  <c r="D69" i="25"/>
  <c r="C69" i="25"/>
  <c r="G68" i="25"/>
  <c r="F68" i="25"/>
  <c r="C50" i="25"/>
  <c r="D46" i="25"/>
  <c r="D45" i="25"/>
  <c r="D50" i="25" s="1"/>
  <c r="D44" i="25"/>
  <c r="D58" i="25"/>
  <c r="E20" i="25"/>
  <c r="C58" i="25" s="1"/>
  <c r="D20" i="25"/>
  <c r="D81" i="23"/>
  <c r="C119" i="23" s="1"/>
  <c r="E119" i="23" s="1"/>
  <c r="D80" i="23"/>
  <c r="C118" i="23" s="1"/>
  <c r="E118" i="23" s="1"/>
  <c r="D79" i="23"/>
  <c r="C117" i="23" s="1"/>
  <c r="E117" i="23" s="1"/>
  <c r="C57" i="23"/>
  <c r="D53" i="23"/>
  <c r="D52" i="23"/>
  <c r="D57" i="23" s="1"/>
  <c r="D51" i="23"/>
  <c r="H68" i="25" l="1"/>
  <c r="C92" i="25" s="1"/>
  <c r="H69" i="25"/>
  <c r="D92" i="25" s="1"/>
  <c r="E69" i="25"/>
  <c r="E68" i="25"/>
  <c r="D43" i="23"/>
  <c r="D92" i="23"/>
  <c r="D120" i="23"/>
  <c r="E120" i="23"/>
  <c r="D116" i="23"/>
  <c r="D117" i="23"/>
  <c r="D118" i="23"/>
  <c r="D119" i="23"/>
  <c r="C70" i="25"/>
  <c r="F70" i="25"/>
  <c r="C57" i="25"/>
  <c r="C59" i="25"/>
  <c r="G70" i="25"/>
  <c r="D70" i="25"/>
  <c r="E58" i="25"/>
  <c r="D65" i="23"/>
  <c r="G43" i="23"/>
  <c r="D59" i="25"/>
  <c r="D57" i="25"/>
  <c r="C60" i="25"/>
  <c r="D60" i="25"/>
  <c r="C67" i="23"/>
  <c r="D67" i="23"/>
  <c r="C65" i="23"/>
  <c r="C66" i="23"/>
  <c r="D66" i="23"/>
  <c r="E65" i="23" l="1"/>
  <c r="C69" i="23"/>
  <c r="E64" i="23"/>
  <c r="C104" i="23"/>
  <c r="D101" i="23"/>
  <c r="D69" i="23"/>
  <c r="E114" i="25"/>
  <c r="D104" i="23"/>
  <c r="H70" i="25"/>
  <c r="E59" i="25"/>
  <c r="E60" i="25"/>
  <c r="D61" i="25"/>
  <c r="C82" i="23"/>
  <c r="C79" i="23"/>
  <c r="E57" i="25"/>
  <c r="C61" i="25"/>
  <c r="E70" i="25"/>
  <c r="E67" i="23"/>
  <c r="E66" i="23"/>
  <c r="E93" i="25" l="1"/>
  <c r="E112" i="25" s="1"/>
  <c r="C101" i="23"/>
  <c r="C102" i="23"/>
  <c r="C103" i="23"/>
  <c r="C100" i="23"/>
  <c r="D105" i="23" s="1"/>
  <c r="E69" i="23"/>
  <c r="C84" i="25"/>
  <c r="E104" i="25" s="1"/>
  <c r="C81" i="23"/>
  <c r="C80" i="23"/>
  <c r="C78" i="23"/>
  <c r="E61" i="25"/>
</calcChain>
</file>

<file path=xl/sharedStrings.xml><?xml version="1.0" encoding="utf-8"?>
<sst xmlns="http://schemas.openxmlformats.org/spreadsheetml/2006/main" count="404" uniqueCount="162">
  <si>
    <t>Company A</t>
  </si>
  <si>
    <t>Company B</t>
  </si>
  <si>
    <t>Company C</t>
  </si>
  <si>
    <t>YoY change (relative)</t>
  </si>
  <si>
    <t>Total</t>
  </si>
  <si>
    <t>Company D</t>
  </si>
  <si>
    <t>Legend</t>
  </si>
  <si>
    <t>Input value</t>
  </si>
  <si>
    <t>Reporting year (t+1)</t>
  </si>
  <si>
    <t>Previous year (t)</t>
  </si>
  <si>
    <t>CWF</t>
  </si>
  <si>
    <t>Intermediate results</t>
  </si>
  <si>
    <t>Final results</t>
  </si>
  <si>
    <t>Balanced approach (BA)</t>
  </si>
  <si>
    <t>Portfolio weight</t>
  </si>
  <si>
    <t>Emission weight</t>
  </si>
  <si>
    <t>CPEP</t>
  </si>
  <si>
    <t>Input data</t>
  </si>
  <si>
    <t>Sector</t>
  </si>
  <si>
    <t>Emission performance</t>
  </si>
  <si>
    <t>Target data</t>
  </si>
  <si>
    <r>
      <t>GWF</t>
    </r>
    <r>
      <rPr>
        <b/>
        <vertAlign val="subscript"/>
        <sz val="11"/>
        <color theme="1"/>
        <rFont val="Calibri"/>
        <family val="2"/>
        <scheme val="minor"/>
      </rPr>
      <t>E</t>
    </r>
  </si>
  <si>
    <r>
      <t>GWF</t>
    </r>
    <r>
      <rPr>
        <b/>
        <vertAlign val="subscript"/>
        <sz val="11"/>
        <color theme="1"/>
        <rFont val="Calibri"/>
        <family val="2"/>
        <scheme val="minor"/>
      </rPr>
      <t>P</t>
    </r>
  </si>
  <si>
    <t>Weighting approaches and and corresponding General Weighting Factors (GWF)</t>
  </si>
  <si>
    <t>Company E</t>
  </si>
  <si>
    <t xml:space="preserve">Selecting the weighting approach </t>
  </si>
  <si>
    <t>Electricity production (MWh)</t>
  </si>
  <si>
    <t>Comparison with PCAF-based metrics</t>
  </si>
  <si>
    <t>Results</t>
  </si>
  <si>
    <t>Structural changes</t>
  </si>
  <si>
    <t>Emissions weight</t>
  </si>
  <si>
    <r>
      <t>CPEP</t>
    </r>
    <r>
      <rPr>
        <sz val="11"/>
        <color theme="1"/>
        <rFont val="Calibri"/>
        <family val="2"/>
        <scheme val="minor"/>
      </rPr>
      <t xml:space="preserve"> </t>
    </r>
  </si>
  <si>
    <t>Value</t>
  </si>
  <si>
    <t>Base year</t>
  </si>
  <si>
    <t>Target year</t>
  </si>
  <si>
    <t>Reporting year</t>
  </si>
  <si>
    <t>Annual CPEP results</t>
  </si>
  <si>
    <t>Decarbonisation trajectory (2020-2030)</t>
  </si>
  <si>
    <t>Portfolio data</t>
  </si>
  <si>
    <t xml:space="preserve">Company data - GHG emissions </t>
  </si>
  <si>
    <t>Electricity production</t>
  </si>
  <si>
    <t>Balanced Approach (BA)</t>
  </si>
  <si>
    <t>Portfolio-centric Approach (PA)</t>
  </si>
  <si>
    <t>Emissions-based Approach (EA)</t>
  </si>
  <si>
    <t>Weighting approaches and corresponding General Weighting Factors (GWF)</t>
  </si>
  <si>
    <t xml:space="preserve">Selected weighting approach </t>
  </si>
  <si>
    <t>CPEP calculation - Combined Weighing Factors (CWFs)</t>
  </si>
  <si>
    <r>
      <t>CPEP</t>
    </r>
    <r>
      <rPr>
        <b/>
        <vertAlign val="subscript"/>
        <sz val="11"/>
        <color rgb="FFE5310E"/>
        <rFont val="Calibri"/>
        <family val="2"/>
        <scheme val="minor"/>
      </rPr>
      <t>electricity</t>
    </r>
    <r>
      <rPr>
        <b/>
        <sz val="11"/>
        <color rgb="FFE5310E"/>
        <rFont val="Calibri"/>
        <family val="2"/>
        <scheme val="minor"/>
      </rPr>
      <t xml:space="preserve"> calculation - Calculated Combined Weighing Factors (CWFs)</t>
    </r>
  </si>
  <si>
    <t>Portfolio weight 
(electricity sector)</t>
  </si>
  <si>
    <t>Emission weight 
(electricity sector)</t>
  </si>
  <si>
    <t>Non GHG-intensive sector</t>
  </si>
  <si>
    <t>Step 2 - Calculation of the Combined Weighting Factor (portfolio position level)</t>
  </si>
  <si>
    <t>Step 1 - Determination of the general weighting approach</t>
  </si>
  <si>
    <t>Step 3 - Calculation of the emission performance</t>
  </si>
  <si>
    <t>Comparison of CPEP and development of PCAF-based financed emissions</t>
  </si>
  <si>
    <r>
      <t>Comparison of CPEP</t>
    </r>
    <r>
      <rPr>
        <b/>
        <vertAlign val="subscript"/>
        <sz val="11"/>
        <color theme="0"/>
        <rFont val="Calibri"/>
        <family val="2"/>
        <scheme val="minor"/>
      </rPr>
      <t>electricity</t>
    </r>
    <r>
      <rPr>
        <b/>
        <sz val="11"/>
        <color theme="0"/>
        <rFont val="Calibri"/>
        <family val="2"/>
        <scheme val="minor"/>
      </rPr>
      <t xml:space="preserve"> and PCAF-based physical emission intensities</t>
    </r>
  </si>
  <si>
    <r>
      <t>CPEP</t>
    </r>
    <r>
      <rPr>
        <b/>
        <vertAlign val="subscript"/>
        <sz val="11"/>
        <color rgb="FFE5310E"/>
        <rFont val="Calibri"/>
        <family val="2"/>
        <scheme val="minor"/>
      </rPr>
      <t>electricity</t>
    </r>
    <r>
      <rPr>
        <b/>
        <sz val="11"/>
        <color rgb="FFE5310E"/>
        <rFont val="Calibri"/>
        <family val="2"/>
        <scheme val="minor"/>
      </rPr>
      <t xml:space="preserve"> and PCAF comparison</t>
    </r>
  </si>
  <si>
    <r>
      <t>CPEP</t>
    </r>
    <r>
      <rPr>
        <vertAlign val="subscript"/>
        <sz val="11"/>
        <color theme="1"/>
        <rFont val="Calibri"/>
        <family val="2"/>
        <scheme val="minor"/>
      </rPr>
      <t>electricity</t>
    </r>
  </si>
  <si>
    <t>Contact:</t>
  </si>
  <si>
    <t xml:space="preserve">gf-alliance@umweltbundesamt.at </t>
  </si>
  <si>
    <t>About</t>
  </si>
  <si>
    <t>Contents</t>
  </si>
  <si>
    <t>Copyright</t>
  </si>
  <si>
    <t>Legal notice</t>
  </si>
  <si>
    <t>Company data - GHG emissions</t>
  </si>
  <si>
    <t>Company data - influencing factors causing changes in GHG emissions</t>
  </si>
  <si>
    <t>Change in methodology</t>
  </si>
  <si>
    <t>Other influencing factors</t>
  </si>
  <si>
    <t>CPEP and emission performances of portfolio companies</t>
  </si>
  <si>
    <t>Lower limit of emission performance</t>
  </si>
  <si>
    <t>Upper limit of emission performance</t>
  </si>
  <si>
    <t>Outlier?
(1=no outlier; 0=outlier)</t>
  </si>
  <si>
    <t xml:space="preserve">CWF </t>
  </si>
  <si>
    <t>CPEP and emission performances of portfolio companies (adjusted)</t>
  </si>
  <si>
    <t>Company data - GHG emissions (adjusted)</t>
  </si>
  <si>
    <t>Scenario data - Absolute GHG emissions</t>
  </si>
  <si>
    <t>Progress data</t>
  </si>
  <si>
    <t>Decarbonisation trajectory (target value of annual reduction rate)</t>
  </si>
  <si>
    <t>Target and progress data</t>
  </si>
  <si>
    <t>Company data - Electricity production and EVIC</t>
  </si>
  <si>
    <t>CPEP calculation step 1 - Determination of the general weighting approach</t>
  </si>
  <si>
    <t>CPEP calculation step 2 - Calculation of the Combined Weighting Factor (portfolio position level)</t>
  </si>
  <si>
    <t>CPEP calculation step 3 - Calculation of the emission performance</t>
  </si>
  <si>
    <r>
      <t xml:space="preserve">CPEP calculation step 3.a - Calculation of the emission performance based on </t>
    </r>
    <r>
      <rPr>
        <b/>
        <u/>
        <sz val="11"/>
        <color theme="0"/>
        <rFont val="Calibri"/>
        <family val="2"/>
        <scheme val="minor"/>
      </rPr>
      <t>absolute emissions</t>
    </r>
  </si>
  <si>
    <r>
      <t xml:space="preserve">CPEP calculation step 3.b - Calculation of the emission performance based on </t>
    </r>
    <r>
      <rPr>
        <b/>
        <u/>
        <sz val="11"/>
        <color theme="0"/>
        <rFont val="Calibri"/>
        <family val="2"/>
        <scheme val="minor"/>
      </rPr>
      <t>physical emission intensities</t>
    </r>
  </si>
  <si>
    <t>- PCAF comparison</t>
  </si>
  <si>
    <t>- Tracking progress</t>
  </si>
  <si>
    <t>The Federal Ministry of Agriculture and Forestry, Climate and Environmental Protection, Regions and Water Management of the Republic of Austria (BMLUK) and the Environment Agency Austria tasked with coordination by the BMLUK will provide no financing services or associated advisory services and will com-plete no due diligence assessments under the Austrian Green Finance Alliance. Documents of the Green Finance Alliance shall not be construed as offers or recommendations for financial products or financial instruments. Despite being prepared with the greatest possible care, no guarantee is provided for the information in this publication, and any liability of the publisher and authors is expressly precluded. Any legal information provided is solely the non-binding opinion of the authors and has no influence whatsoever on the decisions of the independent courts.</t>
  </si>
  <si>
    <t>Investment volume</t>
  </si>
  <si>
    <t>Portfolio positions</t>
  </si>
  <si>
    <t>Sub-portfolio-level emission intensity</t>
  </si>
  <si>
    <t>CPEP and PCAF-based results comparison</t>
  </si>
  <si>
    <t>EVIC (in EUR)</t>
  </si>
  <si>
    <r>
      <t>Scope 1+2 (in tCO</t>
    </r>
    <r>
      <rPr>
        <b/>
        <vertAlign val="subscript"/>
        <sz val="11"/>
        <color theme="1"/>
        <rFont val="Calibri"/>
        <family val="2"/>
        <scheme val="minor"/>
      </rPr>
      <t>2</t>
    </r>
    <r>
      <rPr>
        <b/>
        <sz val="11"/>
        <color theme="1"/>
        <rFont val="Calibri"/>
        <family val="2"/>
        <scheme val="minor"/>
      </rPr>
      <t>eq)</t>
    </r>
  </si>
  <si>
    <r>
      <t>Physical emission intensity (tCO</t>
    </r>
    <r>
      <rPr>
        <vertAlign val="subscript"/>
        <sz val="11"/>
        <color theme="1"/>
        <rFont val="Calibri"/>
        <family val="2"/>
        <scheme val="minor"/>
      </rPr>
      <t>2</t>
    </r>
    <r>
      <rPr>
        <sz val="11"/>
        <color theme="1"/>
        <rFont val="Calibri"/>
        <family val="2"/>
        <scheme val="minor"/>
      </rPr>
      <t>eq/MWh)</t>
    </r>
  </si>
  <si>
    <r>
      <t>Absolute emissions (tCO</t>
    </r>
    <r>
      <rPr>
        <vertAlign val="subscript"/>
        <sz val="11"/>
        <color theme="1"/>
        <rFont val="Calibri"/>
        <family val="2"/>
        <scheme val="minor"/>
      </rPr>
      <t>2</t>
    </r>
    <r>
      <rPr>
        <sz val="11"/>
        <color theme="1"/>
        <rFont val="Calibri"/>
        <family val="2"/>
        <scheme val="minor"/>
      </rPr>
      <t>eq)</t>
    </r>
  </si>
  <si>
    <r>
      <t>PCAF-based financed emissions (tCO</t>
    </r>
    <r>
      <rPr>
        <vertAlign val="subscript"/>
        <sz val="11"/>
        <color theme="1"/>
        <rFont val="Calibri"/>
        <family val="2"/>
        <scheme val="minor"/>
      </rPr>
      <t>2</t>
    </r>
    <r>
      <rPr>
        <sz val="11"/>
        <color theme="1"/>
        <rFont val="Calibri"/>
        <family val="2"/>
        <scheme val="minor"/>
      </rPr>
      <t>eq)</t>
    </r>
  </si>
  <si>
    <t>PCAF-based financed emissions (tCO2eq)</t>
  </si>
  <si>
    <t>Emission intensity (tCO2eq/GWh)</t>
  </si>
  <si>
    <t xml:space="preserve">Additional input data to assess consistency </t>
  </si>
  <si>
    <r>
      <t>Absolute change in Scope 1+2 emissions (in tCO</t>
    </r>
    <r>
      <rPr>
        <b/>
        <vertAlign val="subscript"/>
        <sz val="11"/>
        <color theme="1"/>
        <rFont val="Calibri"/>
        <family val="2"/>
        <scheme val="minor"/>
      </rPr>
      <t>2</t>
    </r>
    <r>
      <rPr>
        <b/>
        <sz val="11"/>
        <color theme="1"/>
        <rFont val="Calibri"/>
        <family val="2"/>
        <scheme val="minor"/>
      </rPr>
      <t>eq)</t>
    </r>
  </si>
  <si>
    <t>Reference case - results without adjustment of inconsistent GHG emission developments</t>
  </si>
  <si>
    <t>Scenario 1: Required information on the consistency of GHG emission data across accounting periods is available</t>
  </si>
  <si>
    <t>Change in production</t>
  </si>
  <si>
    <t>Total change</t>
  </si>
  <si>
    <t>Scenario 2: Required information on the consistency of GHG emission data across accounting periods is not available - use of a GHG emission fluctuation range</t>
  </si>
  <si>
    <t>Self-determination of the GHG emission fluctuation range</t>
  </si>
  <si>
    <r>
      <t>Theoretical reference climate scenario: Net-zero emissions by 2050 (in MtCO</t>
    </r>
    <r>
      <rPr>
        <vertAlign val="subscript"/>
        <sz val="11"/>
        <color theme="1"/>
        <rFont val="Calibri"/>
        <family val="2"/>
        <scheme val="minor"/>
      </rPr>
      <t>2</t>
    </r>
    <r>
      <rPr>
        <sz val="11"/>
        <color theme="1"/>
        <rFont val="Calibri"/>
        <family val="2"/>
        <scheme val="minor"/>
      </rPr>
      <t>eq)</t>
    </r>
  </si>
  <si>
    <t>Annual CPEP results (exemplary values)</t>
  </si>
  <si>
    <t>Average CPEP result base year to reporting year (2020-2025)</t>
  </si>
  <si>
    <t>Average CPEP results (2020-2025)</t>
  </si>
  <si>
    <t>Decarbonisation trajectory for the remaining target period (2026-2030)</t>
  </si>
  <si>
    <t>2026-2030</t>
  </si>
  <si>
    <t>Adjusted decarbonisation trajectory for the remaining target period (2026-2030)</t>
  </si>
  <si>
    <t>- Dealing with inconsistency</t>
  </si>
  <si>
    <t>I-PEPs Calculation Spreadsheet – General calculation method</t>
  </si>
  <si>
    <t>I-PEPs Calculation Spreadsheet – I-PEPs comparison with PCAF-metrics</t>
  </si>
  <si>
    <t>I-PEPs Calculation Spreadsheet – Dealing with inconsistent emission performances</t>
  </si>
  <si>
    <t>I-PEPs Calculation Spreadsheet – Tracking progress using I-PEPs</t>
  </si>
  <si>
    <r>
      <t>--&gt; Expand hidden rows to see CPEP and CPEP</t>
    </r>
    <r>
      <rPr>
        <b/>
        <i/>
        <vertAlign val="subscript"/>
        <sz val="11"/>
        <color theme="1"/>
        <rFont val="Calibri"/>
        <family val="2"/>
        <scheme val="minor"/>
      </rPr>
      <t>electricity</t>
    </r>
    <r>
      <rPr>
        <b/>
        <i/>
        <sz val="11"/>
        <color theme="1"/>
        <rFont val="Calibri"/>
        <family val="2"/>
        <scheme val="minor"/>
      </rPr>
      <t xml:space="preserve"> calculation</t>
    </r>
  </si>
  <si>
    <r>
      <t>- CPEP</t>
    </r>
    <r>
      <rPr>
        <b/>
        <vertAlign val="subscript"/>
        <sz val="11"/>
        <color theme="1"/>
        <rFont val="Calibri"/>
        <family val="2"/>
        <scheme val="minor"/>
      </rPr>
      <t>sector</t>
    </r>
    <r>
      <rPr>
        <b/>
        <sz val="11"/>
        <color theme="1"/>
        <rFont val="Calibri"/>
        <family val="2"/>
        <scheme val="minor"/>
      </rPr>
      <t>: Corporate Investment Portfolio-related Emission Intensity Performance (sector)</t>
    </r>
  </si>
  <si>
    <t xml:space="preserve">KPIs: </t>
  </si>
  <si>
    <t>- CPEP: Corporate Investment Portfolio-related Emission Performance</t>
  </si>
  <si>
    <t>Example 1: CPEP based on absolute emission</t>
  </si>
  <si>
    <t>Project A</t>
  </si>
  <si>
    <t>Project B</t>
  </si>
  <si>
    <t>Project C</t>
  </si>
  <si>
    <t>Portfolio position</t>
  </si>
  <si>
    <t>Outstanding volume</t>
  </si>
  <si>
    <r>
      <t xml:space="preserve">Step 3 - Calculation of the emission performance based on </t>
    </r>
    <r>
      <rPr>
        <b/>
        <u/>
        <sz val="11"/>
        <color theme="0"/>
        <rFont val="Calibri"/>
        <family val="2"/>
        <scheme val="minor"/>
      </rPr>
      <t>physical emission intensities</t>
    </r>
  </si>
  <si>
    <t>General calculation method - see Chapter 2.2 (I-PEPs Methodology Standard)</t>
  </si>
  <si>
    <t>- EPEP: Electricity Production Portfolio-related Emission Intensity Performance</t>
  </si>
  <si>
    <r>
      <t>Physical emission intensity (t CO</t>
    </r>
    <r>
      <rPr>
        <b/>
        <vertAlign val="subscript"/>
        <sz val="11"/>
        <color rgb="FFE5310E"/>
        <rFont val="Calibri"/>
        <family val="2"/>
        <scheme val="minor"/>
      </rPr>
      <t>2</t>
    </r>
    <r>
      <rPr>
        <b/>
        <sz val="11"/>
        <color rgb="FFE5310E"/>
        <rFont val="Calibri"/>
        <family val="2"/>
        <scheme val="minor"/>
      </rPr>
      <t>e/MWh)</t>
    </r>
  </si>
  <si>
    <t>EPEP and sub-portfolio-level emission intensities</t>
  </si>
  <si>
    <t>Graphical illustration</t>
  </si>
  <si>
    <t>Scenario data</t>
  </si>
  <si>
    <t>2020
(base year)</t>
  </si>
  <si>
    <t>2030
(target year)</t>
  </si>
  <si>
    <r>
      <t>Reference climate scenario (</t>
    </r>
    <r>
      <rPr>
        <sz val="11"/>
        <color theme="1"/>
        <rFont val="Calibri"/>
        <family val="2"/>
        <scheme val="minor"/>
      </rPr>
      <t>theoretical example)</t>
    </r>
  </si>
  <si>
    <t>Decarbonisation trajectory</t>
  </si>
  <si>
    <r>
      <t>CPEP</t>
    </r>
    <r>
      <rPr>
        <b/>
        <vertAlign val="subscript"/>
        <sz val="11"/>
        <color theme="1"/>
        <rFont val="Calibri"/>
        <family val="2"/>
        <scheme val="minor"/>
      </rPr>
      <t>electricity</t>
    </r>
  </si>
  <si>
    <t>Portfolio</t>
  </si>
  <si>
    <r>
      <t>CWF and emission performance of portfolio companies and CPEP</t>
    </r>
    <r>
      <rPr>
        <b/>
        <vertAlign val="subscript"/>
        <sz val="11"/>
        <color rgb="FFE5310E"/>
        <rFont val="Calibri"/>
        <family val="2"/>
        <scheme val="minor"/>
      </rPr>
      <t>electricity</t>
    </r>
  </si>
  <si>
    <t>- General calculation method (1)</t>
  </si>
  <si>
    <t>- General calculation method (2)</t>
  </si>
  <si>
    <r>
      <t xml:space="preserve">Sample calculation for an exemplary corporate investment portfolio illustrating the </t>
    </r>
    <r>
      <rPr>
        <b/>
        <sz val="11"/>
        <color theme="1"/>
        <rFont val="Calibri"/>
        <family val="2"/>
        <scheme val="minor"/>
      </rPr>
      <t>general calculation method based on absolute emissions</t>
    </r>
    <r>
      <rPr>
        <sz val="11"/>
        <color theme="1"/>
        <rFont val="Calibri"/>
        <family val="2"/>
        <scheme val="minor"/>
      </rPr>
      <t xml:space="preserve">, as described in </t>
    </r>
    <r>
      <rPr>
        <b/>
        <sz val="11"/>
        <color theme="1"/>
        <rFont val="Calibri"/>
        <family val="2"/>
        <scheme val="minor"/>
      </rPr>
      <t xml:space="preserve">chapter 2.2 </t>
    </r>
    <r>
      <rPr>
        <sz val="11"/>
        <color theme="1"/>
        <rFont val="Calibri"/>
        <family val="2"/>
        <scheme val="minor"/>
      </rPr>
      <t xml:space="preserve">of the </t>
    </r>
    <r>
      <rPr>
        <b/>
        <sz val="11"/>
        <color theme="1"/>
        <rFont val="Calibri"/>
        <family val="2"/>
        <scheme val="minor"/>
      </rPr>
      <t>I-PEPs Methodology Standard</t>
    </r>
    <r>
      <rPr>
        <sz val="11"/>
        <color theme="1"/>
        <rFont val="Calibri"/>
        <family val="2"/>
        <scheme val="minor"/>
      </rPr>
      <t xml:space="preserve">. The calculated steering indicator is the Corporate Investment Portfolio-related Emission Performance (CPEP).
The sample calculations are presented and discussed in </t>
    </r>
    <r>
      <rPr>
        <b/>
        <sz val="11"/>
        <color theme="1"/>
        <rFont val="Calibri"/>
        <family val="2"/>
        <scheme val="minor"/>
      </rPr>
      <t xml:space="preserve">chapter 6.2.1 </t>
    </r>
    <r>
      <rPr>
        <sz val="11"/>
        <color theme="1"/>
        <rFont val="Calibri"/>
        <family val="2"/>
        <scheme val="minor"/>
      </rPr>
      <t xml:space="preserve">of the </t>
    </r>
    <r>
      <rPr>
        <b/>
        <sz val="11"/>
        <color theme="1"/>
        <rFont val="Calibri"/>
        <family val="2"/>
        <scheme val="minor"/>
      </rPr>
      <t>I-PEPs Methodology Standard</t>
    </r>
    <r>
      <rPr>
        <sz val="11"/>
        <color theme="1"/>
        <rFont val="Calibri"/>
        <family val="2"/>
        <scheme val="minor"/>
      </rPr>
      <t>.</t>
    </r>
  </si>
  <si>
    <r>
      <t>Sample calculation comparing I-PEPs results for an exemplary corporate investment portfolio with PCAF-based metrics. Two comparisons are presented:
- CPEP and the development of PCAF-based financed emissions 
- CPEP</t>
    </r>
    <r>
      <rPr>
        <vertAlign val="subscript"/>
        <sz val="11"/>
        <color theme="1"/>
        <rFont val="Calibri"/>
        <family val="2"/>
        <scheme val="minor"/>
      </rPr>
      <t>electricity</t>
    </r>
    <r>
      <rPr>
        <sz val="11"/>
        <color theme="1"/>
        <rFont val="Calibri"/>
        <family val="2"/>
        <scheme val="minor"/>
      </rPr>
      <t xml:space="preserve"> and the development of PCAF-based emission intensity 
The sample calculations are presented and discussed in </t>
    </r>
    <r>
      <rPr>
        <b/>
        <sz val="11"/>
        <color theme="1"/>
        <rFont val="Calibri"/>
        <family val="2"/>
        <scheme val="minor"/>
      </rPr>
      <t xml:space="preserve">chapter 6.2.2 </t>
    </r>
    <r>
      <rPr>
        <sz val="11"/>
        <color theme="1"/>
        <rFont val="Calibri"/>
        <family val="2"/>
        <scheme val="minor"/>
      </rPr>
      <t xml:space="preserve">of the </t>
    </r>
    <r>
      <rPr>
        <b/>
        <sz val="11"/>
        <color theme="1"/>
        <rFont val="Calibri"/>
        <family val="2"/>
        <scheme val="minor"/>
      </rPr>
      <t>I-PEPs Methodology Standard</t>
    </r>
    <r>
      <rPr>
        <sz val="11"/>
        <color theme="1"/>
        <rFont val="Calibri"/>
        <family val="2"/>
        <scheme val="minor"/>
      </rPr>
      <t>.</t>
    </r>
  </si>
  <si>
    <r>
      <t xml:space="preserve">Sample calculation illustrating how to deal with inconsistent emission performances when calculating I-PEPs. Three approaches are presented using an exemplary corporate investment portfolio:
- Reference case: No adjustment for consistency of GHG emission data 
- Scenario 1: Required information on the consistency of GHG emission data across accounting periods is available
- Scenario 2: Required information on the consistency of GHG emission data across accounting periods is not available - use of a GHG emission fluctuation range
The sample calculations are presented and discussed in </t>
    </r>
    <r>
      <rPr>
        <b/>
        <sz val="11"/>
        <color theme="1"/>
        <rFont val="Calibri"/>
        <family val="2"/>
        <scheme val="minor"/>
      </rPr>
      <t xml:space="preserve">chapter 6.2.3 </t>
    </r>
    <r>
      <rPr>
        <sz val="11"/>
        <color theme="1"/>
        <rFont val="Calibri"/>
        <family val="2"/>
        <scheme val="minor"/>
      </rPr>
      <t xml:space="preserve">of the </t>
    </r>
    <r>
      <rPr>
        <b/>
        <sz val="11"/>
        <color theme="1"/>
        <rFont val="Calibri"/>
        <family val="2"/>
        <scheme val="minor"/>
      </rPr>
      <t>I-PEPs Methodology Standard</t>
    </r>
    <r>
      <rPr>
        <sz val="11"/>
        <color theme="1"/>
        <rFont val="Calibri"/>
        <family val="2"/>
        <scheme val="minor"/>
      </rPr>
      <t>.</t>
    </r>
  </si>
  <si>
    <r>
      <t xml:space="preserve">Sample calculation to illustrate how to track progress across accounting periods using I-PEPs. For this sample calculation, exemplary annual CPEP results are analysed and compared with a defined decarbonisation trajectory.
The sample calculations are presented and discussed in </t>
    </r>
    <r>
      <rPr>
        <b/>
        <sz val="11"/>
        <color theme="1"/>
        <rFont val="Calibri"/>
        <family val="2"/>
        <scheme val="minor"/>
      </rPr>
      <t xml:space="preserve">chapter 6.2.4 </t>
    </r>
    <r>
      <rPr>
        <sz val="11"/>
        <color theme="1"/>
        <rFont val="Calibri"/>
        <family val="2"/>
        <scheme val="minor"/>
      </rPr>
      <t xml:space="preserve">of the </t>
    </r>
    <r>
      <rPr>
        <b/>
        <sz val="11"/>
        <color theme="1"/>
        <rFont val="Calibri"/>
        <family val="2"/>
        <scheme val="minor"/>
      </rPr>
      <t>I-PEPs Methodology Standard</t>
    </r>
    <r>
      <rPr>
        <sz val="11"/>
        <color theme="1"/>
        <rFont val="Calibri"/>
        <family val="2"/>
        <scheme val="minor"/>
      </rPr>
      <t>.</t>
    </r>
  </si>
  <si>
    <r>
      <t xml:space="preserve">Sample calculation for an exemplary electricity generation project portfolio illustrating the </t>
    </r>
    <r>
      <rPr>
        <b/>
        <sz val="11"/>
        <color theme="1"/>
        <rFont val="Calibri"/>
        <family val="2"/>
        <scheme val="minor"/>
      </rPr>
      <t>general calculation method based on physical emission intensities</t>
    </r>
    <r>
      <rPr>
        <sz val="11"/>
        <color theme="1"/>
        <rFont val="Calibri"/>
        <family val="2"/>
        <scheme val="minor"/>
      </rPr>
      <t xml:space="preserve">, as described in </t>
    </r>
    <r>
      <rPr>
        <b/>
        <sz val="11"/>
        <color theme="1"/>
        <rFont val="Calibri"/>
        <family val="2"/>
        <scheme val="minor"/>
      </rPr>
      <t xml:space="preserve">chapter 2.2 </t>
    </r>
    <r>
      <rPr>
        <sz val="11"/>
        <color theme="1"/>
        <rFont val="Calibri"/>
        <family val="2"/>
        <scheme val="minor"/>
      </rPr>
      <t xml:space="preserve">of the </t>
    </r>
    <r>
      <rPr>
        <b/>
        <sz val="11"/>
        <color theme="1"/>
        <rFont val="Calibri"/>
        <family val="2"/>
        <scheme val="minor"/>
      </rPr>
      <t>I-PEPs Methodology Standard</t>
    </r>
    <r>
      <rPr>
        <sz val="11"/>
        <color theme="1"/>
        <rFont val="Calibri"/>
        <family val="2"/>
        <scheme val="minor"/>
      </rPr>
      <t xml:space="preserve">. The calculated steering indicator is the Electricity Production Portfolio-related Emission Intensity Performance (EPEP).
The sample calculations are presented and discussed in </t>
    </r>
    <r>
      <rPr>
        <b/>
        <sz val="11"/>
        <color theme="1"/>
        <rFont val="Calibri"/>
        <family val="2"/>
        <scheme val="minor"/>
      </rPr>
      <t>chapter 6.2.1</t>
    </r>
    <r>
      <rPr>
        <sz val="11"/>
        <color theme="1"/>
        <rFont val="Calibri"/>
        <family val="2"/>
        <scheme val="minor"/>
      </rPr>
      <t xml:space="preserve"> of the </t>
    </r>
    <r>
      <rPr>
        <b/>
        <sz val="11"/>
        <color theme="1"/>
        <rFont val="Calibri"/>
        <family val="2"/>
        <scheme val="minor"/>
      </rPr>
      <t>I-PEPs Methodology Standard</t>
    </r>
    <r>
      <rPr>
        <sz val="11"/>
        <color theme="1"/>
        <rFont val="Calibri"/>
        <family val="2"/>
        <scheme val="minor"/>
      </rPr>
      <t>.</t>
    </r>
  </si>
  <si>
    <r>
      <t xml:space="preserve">All rights concerning I-PEPs remain with the BMLUK. Commercial use or distribution is not permitted. Excerpts may only be reprinted if the source </t>
    </r>
    <r>
      <rPr>
        <i/>
        <sz val="11"/>
        <color theme="1"/>
        <rFont val="Calibri"/>
        <family val="2"/>
        <scheme val="minor"/>
      </rPr>
      <t>Green Finance Alliance (2025). Indicators for Portfolio-related Emission Performance (I-PEPs) – Methodology Standard (version 1.0)</t>
    </r>
    <r>
      <rPr>
        <sz val="11"/>
        <color theme="1"/>
        <rFont val="Calibri"/>
        <family val="2"/>
        <scheme val="minor"/>
      </rPr>
      <t>. Environment Agency Austria (Editor) is acknowledged. All other uses are not permitted without the written consent of the BMLUK.</t>
    </r>
  </si>
  <si>
    <r>
      <t xml:space="preserve">This excel is part of the </t>
    </r>
    <r>
      <rPr>
        <b/>
        <sz val="11"/>
        <color theme="1"/>
        <rFont val="Calibri"/>
        <family val="2"/>
        <scheme val="minor"/>
      </rPr>
      <t xml:space="preserve">I-PEPs Methodology Standard (Version 1.0) </t>
    </r>
    <r>
      <rPr>
        <sz val="11"/>
        <color theme="1"/>
        <rFont val="Calibri"/>
        <family val="2"/>
        <scheme val="minor"/>
      </rPr>
      <t xml:space="preserve">and contains the equations and sample calculations presented in the annex of the methodology standard (chapter 6.2 Sample portfolio simulation).
The aim of this excel is to provide readers of the methodology standard a better understanding of the calculation approach behind the </t>
    </r>
    <r>
      <rPr>
        <b/>
        <sz val="11"/>
        <color theme="1"/>
        <rFont val="Calibri"/>
        <family val="2"/>
        <scheme val="minor"/>
      </rPr>
      <t xml:space="preserve">Indicators for Portfolio-related Emission Performance (I-PEPs) </t>
    </r>
    <r>
      <rPr>
        <sz val="11"/>
        <color theme="1"/>
        <rFont val="Calibri"/>
        <family val="2"/>
        <scheme val="minor"/>
      </rPr>
      <t>and the impact of selected parameters on different steering indicators.</t>
    </r>
  </si>
  <si>
    <t>Example 2: EPEP based on phyiscal emission intensities</t>
  </si>
  <si>
    <t>EPEP</t>
  </si>
  <si>
    <t>EPEP calculation - Combined Weighing Factors (CWFs)</t>
  </si>
  <si>
    <t>Portfolio weight (= CWF)
Previous year (t)</t>
  </si>
  <si>
    <t>Portfolio weight (= CWF)
Reporting year (t+1)</t>
  </si>
  <si>
    <t>I-PEPs comparison with PCAF-based metrics - see Chapter 5.2 and 6.2.2 (I-PEPs Methodology Standard)</t>
  </si>
  <si>
    <t>Performance (intensity)</t>
  </si>
  <si>
    <t>Dealing with inconsistent emission performances - see Chapter 5.1.1 and 6.2.3 (I-PEPs Methodology Standard)</t>
  </si>
  <si>
    <t>Reduction measures</t>
  </si>
  <si>
    <t>Tracking progress using I-PEPs - see Chapter 4.1 and 6.2.4 (I-PEPs Methodology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</si>
</sst>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0.0%"/>
    <numFmt numFmtId="166" formatCode="_-[$EUR]\ * #,##0_-;\-[$EUR]\ * #,##0_-;_-[$EUR]\ *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20"/>
      <color theme="1"/>
      <name val="Calibri"/>
      <family val="2"/>
      <scheme val="minor"/>
    </font>
    <font>
      <b/>
      <i/>
      <sz val="11"/>
      <color theme="1"/>
      <name val="Calibri"/>
      <family val="2"/>
      <scheme val="minor"/>
    </font>
    <font>
      <b/>
      <sz val="11"/>
      <color theme="0"/>
      <name val="Calibri"/>
      <family val="2"/>
      <scheme val="minor"/>
    </font>
    <font>
      <i/>
      <sz val="11"/>
      <color theme="1" tint="0.499984740745262"/>
      <name val="Calibri"/>
      <family val="2"/>
      <scheme val="minor"/>
    </font>
    <font>
      <b/>
      <sz val="11"/>
      <name val="Calibri"/>
      <family val="2"/>
      <scheme val="minor"/>
    </font>
    <font>
      <sz val="11"/>
      <name val="Calibri"/>
      <family val="2"/>
      <scheme val="minor"/>
    </font>
    <font>
      <b/>
      <sz val="11"/>
      <color rgb="FFE5310E"/>
      <name val="Calibri"/>
      <family val="2"/>
      <scheme val="minor"/>
    </font>
    <font>
      <sz val="11"/>
      <color rgb="FFE5310E"/>
      <name val="Calibri"/>
      <family val="2"/>
      <scheme val="minor"/>
    </font>
    <font>
      <b/>
      <i/>
      <sz val="11"/>
      <color theme="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0"/>
      <name val="Calibri"/>
      <family val="2"/>
      <scheme val="minor"/>
    </font>
    <font>
      <b/>
      <vertAlign val="subscript"/>
      <sz val="11"/>
      <color rgb="FFE5310E"/>
      <name val="Calibri"/>
      <family val="2"/>
      <scheme val="minor"/>
    </font>
    <font>
      <i/>
      <sz val="11"/>
      <name val="Calibri"/>
      <family val="2"/>
      <scheme val="minor"/>
    </font>
    <font>
      <b/>
      <i/>
      <vertAlign val="subscript"/>
      <sz val="11"/>
      <color theme="1"/>
      <name val="Calibri"/>
      <family val="2"/>
      <scheme val="minor"/>
    </font>
    <font>
      <b/>
      <vertAlign val="subscript"/>
      <sz val="11"/>
      <color theme="0"/>
      <name val="Calibri"/>
      <family val="2"/>
      <scheme val="minor"/>
    </font>
    <font>
      <u/>
      <sz val="11"/>
      <color theme="1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499984740745262"/>
        <bgColor indexed="64"/>
      </patternFill>
    </fill>
    <fill>
      <patternFill patternType="lightUp">
        <bgColor theme="0" tint="-4.9989318521683403E-2"/>
      </patternFill>
    </fill>
    <fill>
      <patternFill patternType="solid">
        <fgColor rgb="FF0FAA6E"/>
        <bgColor indexed="64"/>
      </patternFill>
    </fill>
    <fill>
      <patternFill patternType="solid">
        <fgColor theme="3"/>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8"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cellStyleXfs>
  <cellXfs count="200">
    <xf numFmtId="0" fontId="0" fillId="0" borderId="0" xfId="0"/>
    <xf numFmtId="0" fontId="2" fillId="0" borderId="0" xfId="0" applyFont="1"/>
    <xf numFmtId="0" fontId="4" fillId="0" borderId="0" xfId="0" applyFont="1"/>
    <xf numFmtId="0" fontId="0" fillId="4" borderId="1" xfId="0" applyFill="1" applyBorder="1"/>
    <xf numFmtId="0" fontId="0" fillId="4" borderId="2" xfId="0" applyFill="1" applyBorder="1"/>
    <xf numFmtId="0" fontId="2" fillId="2" borderId="7" xfId="0" applyFont="1" applyFill="1" applyBorder="1"/>
    <xf numFmtId="0" fontId="0" fillId="2" borderId="7" xfId="0" applyFill="1" applyBorder="1"/>
    <xf numFmtId="0" fontId="0" fillId="4" borderId="10" xfId="0" applyFill="1" applyBorder="1"/>
    <xf numFmtId="0" fontId="0" fillId="4" borderId="11" xfId="0" applyFill="1" applyBorder="1"/>
    <xf numFmtId="0" fontId="2" fillId="2" borderId="3" xfId="0" applyFont="1" applyFill="1" applyBorder="1"/>
    <xf numFmtId="0" fontId="0" fillId="5" borderId="0" xfId="0" applyFill="1"/>
    <xf numFmtId="0" fontId="2" fillId="2" borderId="0" xfId="0" applyFont="1" applyFill="1" applyAlignment="1">
      <alignment horizontal="right"/>
    </xf>
    <xf numFmtId="0" fontId="2" fillId="2" borderId="3" xfId="0" applyFont="1" applyFill="1" applyBorder="1" applyAlignment="1">
      <alignment horizontal="right"/>
    </xf>
    <xf numFmtId="0" fontId="0" fillId="2" borderId="6" xfId="0" applyFill="1" applyBorder="1"/>
    <xf numFmtId="0" fontId="0" fillId="2" borderId="8" xfId="0" applyFill="1" applyBorder="1"/>
    <xf numFmtId="0" fontId="6" fillId="5" borderId="0" xfId="0" applyFont="1" applyFill="1" applyAlignment="1">
      <alignment vertical="center"/>
    </xf>
    <xf numFmtId="0" fontId="2" fillId="2" borderId="6" xfId="0" applyFont="1" applyFill="1" applyBorder="1"/>
    <xf numFmtId="0" fontId="2" fillId="4" borderId="9" xfId="0" applyFont="1" applyFill="1" applyBorder="1"/>
    <xf numFmtId="0" fontId="0" fillId="3" borderId="4" xfId="0" applyFill="1" applyBorder="1"/>
    <xf numFmtId="0" fontId="2" fillId="2" borderId="1" xfId="0" applyFont="1" applyFill="1" applyBorder="1" applyAlignment="1">
      <alignment horizontal="right"/>
    </xf>
    <xf numFmtId="0" fontId="2" fillId="2" borderId="2" xfId="0" applyFont="1" applyFill="1" applyBorder="1" applyAlignment="1">
      <alignment horizontal="right"/>
    </xf>
    <xf numFmtId="0" fontId="0" fillId="2" borderId="8" xfId="0" applyFill="1" applyBorder="1" applyAlignment="1">
      <alignment horizontal="left" vertical="center" wrapText="1"/>
    </xf>
    <xf numFmtId="0" fontId="0" fillId="2" borderId="7" xfId="0" applyFill="1" applyBorder="1" applyAlignment="1">
      <alignment vertical="center" wrapText="1"/>
    </xf>
    <xf numFmtId="2" fontId="0" fillId="2" borderId="0" xfId="0" applyNumberFormat="1" applyFill="1" applyAlignment="1">
      <alignment horizontal="right" vertical="center"/>
    </xf>
    <xf numFmtId="0" fontId="6" fillId="6" borderId="0" xfId="0" applyFont="1" applyFill="1" applyAlignment="1">
      <alignment vertical="center"/>
    </xf>
    <xf numFmtId="0" fontId="0" fillId="6" borderId="0" xfId="0" applyFill="1"/>
    <xf numFmtId="0" fontId="0" fillId="2" borderId="8" xfId="0" applyFill="1" applyBorder="1" applyAlignment="1">
      <alignment vertical="center"/>
    </xf>
    <xf numFmtId="43" fontId="0" fillId="3" borderId="0" xfId="3" applyFont="1" applyFill="1" applyBorder="1"/>
    <xf numFmtId="164" fontId="0" fillId="2" borderId="0" xfId="3" applyNumberFormat="1" applyFont="1" applyFill="1" applyBorder="1"/>
    <xf numFmtId="165" fontId="2" fillId="3" borderId="3" xfId="2" applyNumberFormat="1" applyFont="1" applyFill="1" applyBorder="1" applyAlignment="1">
      <alignment horizontal="right" vertical="center"/>
    </xf>
    <xf numFmtId="0" fontId="10" fillId="4" borderId="6" xfId="0" applyFont="1" applyFill="1" applyBorder="1"/>
    <xf numFmtId="10" fontId="0" fillId="0" borderId="0" xfId="2" applyNumberFormat="1" applyFont="1"/>
    <xf numFmtId="0" fontId="7" fillId="0" borderId="0" xfId="0" applyFont="1" applyAlignment="1">
      <alignment wrapText="1"/>
    </xf>
    <xf numFmtId="0" fontId="10" fillId="4" borderId="9" xfId="0" applyFont="1" applyFill="1" applyBorder="1" applyAlignment="1">
      <alignment vertical="center"/>
    </xf>
    <xf numFmtId="0" fontId="2" fillId="4" borderId="10" xfId="0" applyFont="1" applyFill="1" applyBorder="1" applyAlignment="1">
      <alignment vertical="center"/>
    </xf>
    <xf numFmtId="0" fontId="2" fillId="4" borderId="11" xfId="0" applyFont="1" applyFill="1" applyBorder="1" applyAlignment="1">
      <alignment vertical="center"/>
    </xf>
    <xf numFmtId="0" fontId="0" fillId="0" borderId="0" xfId="0" applyAlignment="1">
      <alignment vertical="center"/>
    </xf>
    <xf numFmtId="0" fontId="0" fillId="2" borderId="7" xfId="0" applyFill="1" applyBorder="1" applyAlignment="1">
      <alignment horizontal="left"/>
    </xf>
    <xf numFmtId="0" fontId="3" fillId="2" borderId="8" xfId="0" applyFont="1" applyFill="1" applyBorder="1" applyAlignment="1">
      <alignment horizontal="left"/>
    </xf>
    <xf numFmtId="0" fontId="10" fillId="4" borderId="6" xfId="0" applyFont="1" applyFill="1" applyBorder="1" applyAlignment="1">
      <alignment vertical="center"/>
    </xf>
    <xf numFmtId="164" fontId="0" fillId="2" borderId="3" xfId="3" applyNumberFormat="1" applyFont="1" applyFill="1" applyBorder="1"/>
    <xf numFmtId="164" fontId="3" fillId="2" borderId="4" xfId="3" applyNumberFormat="1" applyFont="1" applyFill="1" applyBorder="1"/>
    <xf numFmtId="164" fontId="3" fillId="2" borderId="5" xfId="3" applyNumberFormat="1" applyFont="1" applyFill="1" applyBorder="1"/>
    <xf numFmtId="0" fontId="0" fillId="2" borderId="0" xfId="0" applyFill="1" applyAlignment="1">
      <alignment horizontal="left"/>
    </xf>
    <xf numFmtId="0" fontId="2" fillId="2" borderId="0" xfId="0" applyFont="1" applyFill="1"/>
    <xf numFmtId="0" fontId="3" fillId="2" borderId="4" xfId="0" applyFont="1" applyFill="1" applyBorder="1" applyAlignment="1">
      <alignment horizontal="left"/>
    </xf>
    <xf numFmtId="0" fontId="10" fillId="2" borderId="7" xfId="0" applyFont="1" applyFill="1" applyBorder="1" applyAlignment="1">
      <alignment vertical="center"/>
    </xf>
    <xf numFmtId="0" fontId="2" fillId="4" borderId="10" xfId="0" applyFont="1" applyFill="1" applyBorder="1"/>
    <xf numFmtId="0" fontId="2" fillId="4" borderId="11" xfId="0" applyFont="1" applyFill="1" applyBorder="1"/>
    <xf numFmtId="0" fontId="2" fillId="2" borderId="1" xfId="0" applyFont="1" applyFill="1" applyBorder="1"/>
    <xf numFmtId="0" fontId="2" fillId="2" borderId="2" xfId="0" applyFont="1" applyFill="1" applyBorder="1"/>
    <xf numFmtId="0" fontId="0" fillId="2" borderId="8" xfId="0" applyFill="1" applyBorder="1" applyAlignment="1">
      <alignment horizontal="left"/>
    </xf>
    <xf numFmtId="164" fontId="0" fillId="0" borderId="0" xfId="3" applyNumberFormat="1" applyFont="1" applyFill="1" applyBorder="1"/>
    <xf numFmtId="0" fontId="0" fillId="4" borderId="10" xfId="0" applyFill="1" applyBorder="1" applyAlignment="1">
      <alignment vertical="center"/>
    </xf>
    <xf numFmtId="165" fontId="0" fillId="3" borderId="3" xfId="2" applyNumberFormat="1" applyFont="1" applyFill="1" applyBorder="1"/>
    <xf numFmtId="0" fontId="2" fillId="2" borderId="0" xfId="0" applyFont="1" applyFill="1" applyAlignment="1">
      <alignment vertical="center"/>
    </xf>
    <xf numFmtId="43" fontId="0" fillId="3" borderId="3" xfId="3" applyFont="1" applyFill="1" applyBorder="1"/>
    <xf numFmtId="0" fontId="0" fillId="9" borderId="0" xfId="0" applyFill="1"/>
    <xf numFmtId="0" fontId="6" fillId="9" borderId="0" xfId="0" applyFont="1" applyFill="1" applyAlignment="1">
      <alignment vertical="center"/>
    </xf>
    <xf numFmtId="9" fontId="9" fillId="2" borderId="4" xfId="0" applyNumberFormat="1" applyFont="1" applyFill="1" applyBorder="1"/>
    <xf numFmtId="9" fontId="9" fillId="2" borderId="5" xfId="0" applyNumberFormat="1" applyFont="1" applyFill="1" applyBorder="1"/>
    <xf numFmtId="165" fontId="0" fillId="0" borderId="0" xfId="0" applyNumberFormat="1"/>
    <xf numFmtId="0" fontId="10" fillId="2" borderId="6" xfId="0" applyFont="1" applyFill="1" applyBorder="1" applyAlignment="1">
      <alignment vertical="center"/>
    </xf>
    <xf numFmtId="0" fontId="12" fillId="10" borderId="8" xfId="0" applyFont="1" applyFill="1" applyBorder="1"/>
    <xf numFmtId="0" fontId="2" fillId="4" borderId="1" xfId="0" applyFont="1" applyFill="1" applyBorder="1" applyAlignment="1">
      <alignment vertical="center"/>
    </xf>
    <xf numFmtId="0" fontId="2" fillId="4" borderId="2" xfId="0" applyFont="1" applyFill="1" applyBorder="1" applyAlignment="1">
      <alignment vertical="center"/>
    </xf>
    <xf numFmtId="164" fontId="0" fillId="7" borderId="4" xfId="3" applyNumberFormat="1" applyFont="1" applyFill="1" applyBorder="1"/>
    <xf numFmtId="0" fontId="5" fillId="2" borderId="8" xfId="0" applyFont="1" applyFill="1" applyBorder="1" applyAlignment="1">
      <alignment horizontal="left"/>
    </xf>
    <xf numFmtId="0" fontId="2" fillId="2" borderId="7" xfId="0" applyFont="1" applyFill="1" applyBorder="1" applyAlignment="1">
      <alignment vertical="center"/>
    </xf>
    <xf numFmtId="165" fontId="5" fillId="8" borderId="5" xfId="2" applyNumberFormat="1" applyFont="1" applyFill="1" applyBorder="1"/>
    <xf numFmtId="0" fontId="9" fillId="2" borderId="7" xfId="0" applyFont="1" applyFill="1" applyBorder="1"/>
    <xf numFmtId="9" fontId="9" fillId="2" borderId="3" xfId="0" applyNumberFormat="1" applyFont="1" applyFill="1" applyBorder="1"/>
    <xf numFmtId="0" fontId="9" fillId="2" borderId="8" xfId="0" applyFont="1" applyFill="1" applyBorder="1"/>
    <xf numFmtId="164" fontId="0" fillId="0" borderId="0" xfId="0" applyNumberFormat="1"/>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right" wrapText="1"/>
    </xf>
    <xf numFmtId="0" fontId="2" fillId="8" borderId="5" xfId="0" applyFont="1" applyFill="1" applyBorder="1"/>
    <xf numFmtId="0" fontId="10" fillId="4" borderId="9" xfId="0" applyFont="1" applyFill="1" applyBorder="1"/>
    <xf numFmtId="164" fontId="0" fillId="3" borderId="0" xfId="0" applyNumberFormat="1" applyFill="1" applyAlignment="1">
      <alignment vertical="center"/>
    </xf>
    <xf numFmtId="0" fontId="0" fillId="2" borderId="7" xfId="0" applyFill="1" applyBorder="1" applyAlignment="1">
      <alignment vertical="center"/>
    </xf>
    <xf numFmtId="165" fontId="0" fillId="2" borderId="0" xfId="0" applyNumberFormat="1" applyFill="1"/>
    <xf numFmtId="165" fontId="0" fillId="2" borderId="5" xfId="0" applyNumberFormat="1" applyFill="1" applyBorder="1"/>
    <xf numFmtId="165" fontId="0" fillId="2" borderId="0" xfId="0" quotePrefix="1" applyNumberFormat="1" applyFill="1" applyAlignment="1">
      <alignment horizontal="right"/>
    </xf>
    <xf numFmtId="1" fontId="0" fillId="0" borderId="0" xfId="0" applyNumberFormat="1"/>
    <xf numFmtId="0" fontId="0" fillId="2" borderId="8" xfId="0" applyFill="1" applyBorder="1" applyAlignment="1">
      <alignment wrapText="1"/>
    </xf>
    <xf numFmtId="0" fontId="0" fillId="7" borderId="4" xfId="0" applyFill="1" applyBorder="1"/>
    <xf numFmtId="0" fontId="0" fillId="7" borderId="3" xfId="0" applyFill="1" applyBorder="1"/>
    <xf numFmtId="164" fontId="0" fillId="2" borderId="0" xfId="3" applyNumberFormat="1" applyFont="1" applyFill="1" applyBorder="1" applyAlignment="1">
      <alignment horizontal="right"/>
    </xf>
    <xf numFmtId="164" fontId="0" fillId="2" borderId="3" xfId="3" applyNumberFormat="1" applyFont="1" applyFill="1" applyBorder="1" applyAlignment="1">
      <alignment horizontal="right"/>
    </xf>
    <xf numFmtId="43" fontId="0" fillId="2" borderId="4" xfId="3" applyFont="1" applyFill="1" applyBorder="1" applyAlignment="1">
      <alignment horizontal="right"/>
    </xf>
    <xf numFmtId="43" fontId="0" fillId="2" borderId="5" xfId="3" applyFont="1" applyFill="1" applyBorder="1" applyAlignment="1">
      <alignment horizontal="right"/>
    </xf>
    <xf numFmtId="164" fontId="3" fillId="2" borderId="4" xfId="3" applyNumberFormat="1" applyFont="1" applyFill="1" applyBorder="1" applyAlignment="1">
      <alignment horizontal="right"/>
    </xf>
    <xf numFmtId="164" fontId="3" fillId="2" borderId="5" xfId="3" applyNumberFormat="1" applyFont="1" applyFill="1" applyBorder="1" applyAlignment="1">
      <alignment horizontal="right"/>
    </xf>
    <xf numFmtId="9" fontId="9" fillId="2" borderId="0" xfId="0" applyNumberFormat="1" applyFont="1" applyFill="1" applyAlignment="1">
      <alignment horizontal="right"/>
    </xf>
    <xf numFmtId="9" fontId="9" fillId="2" borderId="3" xfId="0" applyNumberFormat="1" applyFont="1" applyFill="1" applyBorder="1" applyAlignment="1">
      <alignment horizontal="right"/>
    </xf>
    <xf numFmtId="9" fontId="9" fillId="2" borderId="4" xfId="0" applyNumberFormat="1" applyFont="1" applyFill="1" applyBorder="1" applyAlignment="1">
      <alignment horizontal="right"/>
    </xf>
    <xf numFmtId="9" fontId="9" fillId="2" borderId="5" xfId="0" applyNumberFormat="1" applyFont="1" applyFill="1" applyBorder="1" applyAlignment="1">
      <alignment horizontal="right"/>
    </xf>
    <xf numFmtId="0" fontId="2" fillId="2" borderId="3" xfId="0" applyFont="1" applyFill="1" applyBorder="1" applyAlignment="1">
      <alignment horizontal="right" wrapText="1"/>
    </xf>
    <xf numFmtId="9" fontId="0" fillId="3" borderId="0" xfId="2" applyFont="1" applyFill="1" applyBorder="1" applyAlignment="1">
      <alignment horizontal="right"/>
    </xf>
    <xf numFmtId="165" fontId="0" fillId="3" borderId="0" xfId="2" applyNumberFormat="1" applyFont="1" applyFill="1" applyBorder="1" applyAlignment="1">
      <alignment horizontal="right"/>
    </xf>
    <xf numFmtId="10" fontId="9" fillId="3" borderId="3" xfId="2" applyNumberFormat="1" applyFont="1" applyFill="1" applyBorder="1" applyAlignment="1">
      <alignment horizontal="right"/>
    </xf>
    <xf numFmtId="165" fontId="3" fillId="2" borderId="4" xfId="2" applyNumberFormat="1" applyFont="1" applyFill="1" applyBorder="1" applyAlignment="1">
      <alignment horizontal="right"/>
    </xf>
    <xf numFmtId="10" fontId="17" fillId="2" borderId="5" xfId="2" applyNumberFormat="1" applyFont="1" applyFill="1" applyBorder="1" applyAlignment="1">
      <alignment horizontal="right"/>
    </xf>
    <xf numFmtId="0" fontId="2" fillId="2" borderId="0" xfId="0" applyFont="1" applyFill="1" applyAlignment="1">
      <alignment horizontal="right" wrapText="1"/>
    </xf>
    <xf numFmtId="164" fontId="0" fillId="7" borderId="0" xfId="3" applyNumberFormat="1" applyFont="1" applyFill="1" applyBorder="1" applyAlignment="1">
      <alignment horizontal="right"/>
    </xf>
    <xf numFmtId="164" fontId="0" fillId="7" borderId="3" xfId="3" applyNumberFormat="1" applyFont="1" applyFill="1" applyBorder="1" applyAlignment="1">
      <alignment horizontal="right"/>
    </xf>
    <xf numFmtId="165" fontId="9" fillId="3" borderId="3" xfId="2" applyNumberFormat="1" applyFont="1" applyFill="1" applyBorder="1" applyAlignment="1">
      <alignment horizontal="right"/>
    </xf>
    <xf numFmtId="164" fontId="0" fillId="2" borderId="0" xfId="0" applyNumberFormat="1" applyFill="1" applyAlignment="1">
      <alignment horizontal="right"/>
    </xf>
    <xf numFmtId="164" fontId="0" fillId="2" borderId="3" xfId="0" applyNumberFormat="1" applyFill="1" applyBorder="1" applyAlignment="1">
      <alignment horizontal="right"/>
    </xf>
    <xf numFmtId="43" fontId="0" fillId="7" borderId="4" xfId="3" applyFont="1" applyFill="1" applyBorder="1" applyAlignment="1">
      <alignment horizontal="right"/>
    </xf>
    <xf numFmtId="43" fontId="1" fillId="2" borderId="5" xfId="3" applyFont="1" applyFill="1" applyBorder="1" applyAlignment="1">
      <alignment horizontal="right"/>
    </xf>
    <xf numFmtId="0" fontId="9" fillId="0" borderId="0" xfId="4" applyFont="1"/>
    <xf numFmtId="0" fontId="0" fillId="2" borderId="13" xfId="0" applyFill="1" applyBorder="1" applyAlignment="1">
      <alignment vertical="center" wrapText="1"/>
    </xf>
    <xf numFmtId="0" fontId="0" fillId="2" borderId="0" xfId="0" quotePrefix="1" applyFill="1" applyAlignment="1">
      <alignment vertical="center" wrapText="1"/>
    </xf>
    <xf numFmtId="0" fontId="12" fillId="10" borderId="8" xfId="0" applyFont="1" applyFill="1" applyBorder="1" applyAlignment="1">
      <alignment vertical="center"/>
    </xf>
    <xf numFmtId="0" fontId="2" fillId="2" borderId="0" xfId="0" applyFont="1" applyFill="1" applyAlignment="1">
      <alignment horizontal="right" vertical="center"/>
    </xf>
    <xf numFmtId="0" fontId="2" fillId="2" borderId="3" xfId="0" applyFont="1" applyFill="1" applyBorder="1" applyAlignment="1">
      <alignment horizontal="right" vertical="center"/>
    </xf>
    <xf numFmtId="9" fontId="9" fillId="2" borderId="4" xfId="0" applyNumberFormat="1" applyFont="1" applyFill="1" applyBorder="1" applyAlignment="1">
      <alignment horizontal="right" vertical="center"/>
    </xf>
    <xf numFmtId="9" fontId="9" fillId="2" borderId="5" xfId="0" applyNumberFormat="1" applyFont="1" applyFill="1" applyBorder="1" applyAlignment="1">
      <alignment horizontal="right" vertical="center"/>
    </xf>
    <xf numFmtId="165" fontId="0" fillId="3" borderId="0" xfId="0" applyNumberFormat="1" applyFill="1" applyAlignment="1">
      <alignment horizontal="right"/>
    </xf>
    <xf numFmtId="165" fontId="0" fillId="3" borderId="3" xfId="2" applyNumberFormat="1" applyFont="1" applyFill="1" applyBorder="1" applyAlignment="1">
      <alignment horizontal="right"/>
    </xf>
    <xf numFmtId="0" fontId="0" fillId="2" borderId="4" xfId="0" applyFill="1" applyBorder="1" applyAlignment="1">
      <alignment horizontal="right"/>
    </xf>
    <xf numFmtId="165" fontId="5" fillId="8" borderId="5" xfId="2" applyNumberFormat="1" applyFont="1" applyFill="1" applyBorder="1" applyAlignment="1">
      <alignment horizontal="right"/>
    </xf>
    <xf numFmtId="165" fontId="11" fillId="3" borderId="3" xfId="2" applyNumberFormat="1" applyFont="1" applyFill="1" applyBorder="1" applyAlignment="1">
      <alignment horizontal="right"/>
    </xf>
    <xf numFmtId="0" fontId="0" fillId="3" borderId="0" xfId="3" applyNumberFormat="1" applyFont="1" applyFill="1" applyBorder="1" applyAlignment="1">
      <alignment horizontal="right"/>
    </xf>
    <xf numFmtId="164" fontId="11" fillId="3" borderId="0" xfId="3" applyNumberFormat="1" applyFont="1" applyFill="1" applyBorder="1" applyAlignment="1">
      <alignment horizontal="right"/>
    </xf>
    <xf numFmtId="164" fontId="9" fillId="3" borderId="0" xfId="3" applyNumberFormat="1" applyFont="1" applyFill="1" applyBorder="1" applyAlignment="1">
      <alignment horizontal="right"/>
    </xf>
    <xf numFmtId="164" fontId="11" fillId="3" borderId="3" xfId="3" applyNumberFormat="1" applyFont="1" applyFill="1" applyBorder="1" applyAlignment="1">
      <alignment horizontal="right"/>
    </xf>
    <xf numFmtId="164" fontId="9" fillId="3" borderId="3" xfId="3" applyNumberFormat="1" applyFont="1" applyFill="1" applyBorder="1" applyAlignment="1">
      <alignment horizontal="right"/>
    </xf>
    <xf numFmtId="0" fontId="0" fillId="2" borderId="8" xfId="0" applyFill="1" applyBorder="1" applyAlignment="1">
      <alignment horizontal="left" wrapText="1"/>
    </xf>
    <xf numFmtId="0" fontId="0" fillId="2" borderId="3" xfId="3" applyNumberFormat="1" applyFont="1" applyFill="1" applyBorder="1" applyAlignment="1">
      <alignment horizontal="right"/>
    </xf>
    <xf numFmtId="165" fontId="2" fillId="3" borderId="5" xfId="2" applyNumberFormat="1" applyFont="1" applyFill="1" applyBorder="1" applyAlignment="1">
      <alignment horizontal="right"/>
    </xf>
    <xf numFmtId="165" fontId="0" fillId="2" borderId="4" xfId="0" quotePrefix="1" applyNumberFormat="1" applyFill="1" applyBorder="1"/>
    <xf numFmtId="165" fontId="0" fillId="2" borderId="4" xfId="0" applyNumberFormat="1" applyFill="1" applyBorder="1"/>
    <xf numFmtId="165" fontId="0" fillId="2" borderId="4" xfId="1" applyNumberFormat="1" applyFont="1" applyFill="1" applyBorder="1" applyAlignment="1"/>
    <xf numFmtId="165" fontId="2" fillId="8" borderId="5" xfId="2" applyNumberFormat="1" applyFont="1" applyFill="1" applyBorder="1" applyAlignment="1">
      <alignment horizontal="right"/>
    </xf>
    <xf numFmtId="165" fontId="0" fillId="2" borderId="5" xfId="1" applyNumberFormat="1" applyFont="1" applyFill="1" applyBorder="1" applyAlignment="1"/>
    <xf numFmtId="165" fontId="2" fillId="8" borderId="3" xfId="2" applyNumberFormat="1" applyFont="1" applyFill="1" applyBorder="1" applyAlignment="1">
      <alignment horizontal="right" vertical="center"/>
    </xf>
    <xf numFmtId="165" fontId="2" fillId="8" borderId="5" xfId="2" applyNumberFormat="1" applyFont="1" applyFill="1" applyBorder="1" applyAlignment="1">
      <alignment horizontal="right" vertical="center"/>
    </xf>
    <xf numFmtId="164" fontId="0" fillId="3" borderId="4" xfId="0" applyNumberFormat="1" applyFill="1" applyBorder="1" applyAlignment="1">
      <alignment vertical="center"/>
    </xf>
    <xf numFmtId="43" fontId="0" fillId="3" borderId="4" xfId="0" applyNumberFormat="1" applyFill="1" applyBorder="1" applyAlignment="1">
      <alignment vertical="center"/>
    </xf>
    <xf numFmtId="0" fontId="0" fillId="11" borderId="13" xfId="0" applyFill="1" applyBorder="1" applyAlignment="1">
      <alignment vertical="center" wrapText="1"/>
    </xf>
    <xf numFmtId="166" fontId="0" fillId="2" borderId="0" xfId="1" applyNumberFormat="1" applyFont="1" applyFill="1" applyBorder="1" applyAlignment="1">
      <alignment horizontal="right"/>
    </xf>
    <xf numFmtId="166" fontId="0" fillId="2" borderId="3" xfId="1" applyNumberFormat="1" applyFont="1" applyFill="1" applyBorder="1" applyAlignment="1">
      <alignment horizontal="right"/>
    </xf>
    <xf numFmtId="166" fontId="3" fillId="2" borderId="4" xfId="1" applyNumberFormat="1" applyFont="1" applyFill="1" applyBorder="1" applyAlignment="1">
      <alignment horizontal="right"/>
    </xf>
    <xf numFmtId="166" fontId="3" fillId="2" borderId="5" xfId="1" applyNumberFormat="1" applyFont="1" applyFill="1" applyBorder="1" applyAlignment="1">
      <alignment horizontal="right"/>
    </xf>
    <xf numFmtId="166" fontId="0" fillId="2" borderId="0" xfId="1" applyNumberFormat="1" applyFont="1" applyFill="1" applyBorder="1"/>
    <xf numFmtId="166" fontId="0" fillId="2" borderId="3" xfId="1" applyNumberFormat="1" applyFont="1" applyFill="1" applyBorder="1"/>
    <xf numFmtId="166" fontId="3" fillId="2" borderId="4" xfId="1" applyNumberFormat="1" applyFont="1" applyFill="1" applyBorder="1"/>
    <xf numFmtId="166" fontId="3" fillId="2" borderId="5" xfId="1" applyNumberFormat="1" applyFont="1" applyFill="1" applyBorder="1"/>
    <xf numFmtId="9" fontId="3" fillId="2" borderId="4" xfId="2" applyFont="1" applyFill="1" applyBorder="1" applyAlignment="1">
      <alignment horizontal="right"/>
    </xf>
    <xf numFmtId="9" fontId="17" fillId="2" borderId="5" xfId="2" applyFont="1" applyFill="1" applyBorder="1" applyAlignment="1">
      <alignment horizontal="right"/>
    </xf>
    <xf numFmtId="164" fontId="0" fillId="2" borderId="4" xfId="3" applyNumberFormat="1" applyFont="1" applyFill="1" applyBorder="1" applyAlignment="1"/>
    <xf numFmtId="164" fontId="0" fillId="2" borderId="5" xfId="3" applyNumberFormat="1" applyFont="1" applyFill="1" applyBorder="1" applyAlignment="1"/>
    <xf numFmtId="0" fontId="0" fillId="12" borderId="0" xfId="0" applyFill="1"/>
    <xf numFmtId="0" fontId="5" fillId="12" borderId="0" xfId="0" quotePrefix="1" applyFont="1" applyFill="1" applyAlignment="1">
      <alignment horizontal="left" vertical="center" indent="1"/>
    </xf>
    <xf numFmtId="0" fontId="0" fillId="2" borderId="9" xfId="0" applyFill="1" applyBorder="1"/>
    <xf numFmtId="0" fontId="0" fillId="2" borderId="14" xfId="0" applyFill="1" applyBorder="1" applyAlignment="1">
      <alignment vertical="center" wrapText="1"/>
    </xf>
    <xf numFmtId="0" fontId="0" fillId="2" borderId="19" xfId="0" applyFill="1" applyBorder="1" applyAlignment="1">
      <alignment vertical="center" wrapText="1"/>
    </xf>
    <xf numFmtId="0" fontId="0" fillId="2" borderId="15" xfId="0" applyFill="1" applyBorder="1" applyAlignment="1">
      <alignment vertical="center" wrapText="1"/>
    </xf>
    <xf numFmtId="0" fontId="8" fillId="4" borderId="16" xfId="0" applyFont="1" applyFill="1" applyBorder="1"/>
    <xf numFmtId="0" fontId="8" fillId="4" borderId="17" xfId="0" applyFont="1" applyFill="1" applyBorder="1"/>
    <xf numFmtId="0" fontId="8" fillId="4" borderId="18" xfId="0" applyFont="1" applyFill="1" applyBorder="1"/>
    <xf numFmtId="0" fontId="0" fillId="11" borderId="0" xfId="0" quotePrefix="1" applyFill="1" applyAlignment="1">
      <alignment vertical="center" wrapText="1"/>
    </xf>
    <xf numFmtId="0" fontId="0" fillId="11" borderId="12" xfId="0" quotePrefix="1" applyFill="1" applyBorder="1" applyAlignment="1">
      <alignment vertical="center"/>
    </xf>
    <xf numFmtId="0" fontId="0" fillId="2" borderId="12" xfId="0" quotePrefix="1" applyFill="1" applyBorder="1" applyAlignment="1">
      <alignment vertical="center" wrapText="1"/>
    </xf>
    <xf numFmtId="0" fontId="2" fillId="0" borderId="0" xfId="0" applyFont="1" applyAlignment="1">
      <alignment horizontal="left"/>
    </xf>
    <xf numFmtId="0" fontId="0" fillId="2" borderId="20" xfId="0" quotePrefix="1" applyFill="1" applyBorder="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top"/>
    </xf>
    <xf numFmtId="0" fontId="2" fillId="2" borderId="1" xfId="0" applyFont="1" applyFill="1" applyBorder="1" applyAlignment="1">
      <alignment horizontal="left" vertical="center"/>
    </xf>
    <xf numFmtId="0" fontId="2" fillId="8" borderId="10" xfId="0" applyFont="1" applyFill="1" applyBorder="1"/>
    <xf numFmtId="0" fontId="2" fillId="8" borderId="11" xfId="0" applyFont="1" applyFill="1" applyBorder="1"/>
    <xf numFmtId="0" fontId="0" fillId="3" borderId="10" xfId="0" applyFill="1" applyBorder="1"/>
    <xf numFmtId="0" fontId="2" fillId="0" borderId="0" xfId="0" quotePrefix="1" applyFont="1" applyAlignment="1">
      <alignment vertical="center"/>
    </xf>
    <xf numFmtId="0" fontId="2" fillId="2" borderId="1" xfId="0" applyFont="1" applyFill="1" applyBorder="1" applyAlignment="1">
      <alignment horizontal="center"/>
    </xf>
    <xf numFmtId="43" fontId="0" fillId="2" borderId="0" xfId="3" applyFont="1" applyFill="1" applyBorder="1" applyAlignment="1">
      <alignment horizontal="right"/>
    </xf>
    <xf numFmtId="43" fontId="0" fillId="2" borderId="3" xfId="3" applyFont="1" applyFill="1" applyBorder="1" applyAlignment="1">
      <alignment horizontal="right"/>
    </xf>
    <xf numFmtId="0" fontId="10" fillId="4" borderId="10" xfId="0" applyFont="1" applyFill="1" applyBorder="1" applyAlignment="1">
      <alignment vertical="center"/>
    </xf>
    <xf numFmtId="0" fontId="10" fillId="4" borderId="11" xfId="0" applyFont="1" applyFill="1" applyBorder="1" applyAlignment="1">
      <alignment vertical="center"/>
    </xf>
    <xf numFmtId="165" fontId="3" fillId="2" borderId="5" xfId="2" applyNumberFormat="1" applyFont="1" applyFill="1" applyBorder="1" applyAlignment="1">
      <alignment horizontal="right"/>
    </xf>
    <xf numFmtId="0" fontId="0" fillId="2" borderId="7" xfId="0" applyFill="1" applyBorder="1" applyAlignment="1">
      <alignment horizontal="left" wrapText="1"/>
    </xf>
    <xf numFmtId="165" fontId="2" fillId="8" borderId="3" xfId="1" applyNumberFormat="1" applyFont="1" applyFill="1" applyBorder="1" applyAlignment="1"/>
    <xf numFmtId="164" fontId="0" fillId="2" borderId="4" xfId="3" applyNumberFormat="1" applyFont="1" applyFill="1" applyBorder="1" applyAlignment="1">
      <alignment horizontal="right"/>
    </xf>
    <xf numFmtId="164" fontId="0" fillId="2" borderId="5" xfId="3" applyNumberFormat="1" applyFont="1" applyFill="1" applyBorder="1"/>
    <xf numFmtId="165" fontId="0" fillId="3" borderId="0" xfId="2" applyNumberFormat="1" applyFont="1" applyFill="1" applyBorder="1"/>
    <xf numFmtId="0" fontId="2" fillId="2" borderId="8" xfId="0" applyFont="1" applyFill="1" applyBorder="1"/>
    <xf numFmtId="0" fontId="0" fillId="11" borderId="12" xfId="0" quotePrefix="1" applyFill="1" applyBorder="1" applyAlignment="1">
      <alignment vertical="center" wrapText="1"/>
    </xf>
    <xf numFmtId="164" fontId="9" fillId="2" borderId="3" xfId="3" applyNumberFormat="1" applyFont="1" applyFill="1" applyBorder="1" applyAlignment="1">
      <alignment horizontal="right"/>
    </xf>
    <xf numFmtId="43" fontId="0" fillId="7" borderId="5" xfId="3" applyFont="1" applyFill="1" applyBorder="1" applyAlignment="1">
      <alignment horizontal="right"/>
    </xf>
    <xf numFmtId="164" fontId="1" fillId="2" borderId="3" xfId="3" applyNumberFormat="1" applyFont="1" applyFill="1" applyBorder="1" applyAlignment="1">
      <alignment horizontal="righ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cellXfs>
  <cellStyles count="5">
    <cellStyle name="Komma" xfId="3" builtinId="3"/>
    <cellStyle name="Link" xfId="4" builtinId="8"/>
    <cellStyle name="Prozent" xfId="2" builtinId="5"/>
    <cellStyle name="Standard" xfId="0" builtinId="0"/>
    <cellStyle name="Währung" xfId="1" builtinId="4"/>
  </cellStyles>
  <dxfs count="0"/>
  <tableStyles count="0" defaultTableStyle="TableStyleMedium2" defaultPivotStyle="PivotStyleLight16"/>
  <colors>
    <mruColors>
      <color rgb="FFB4C965"/>
      <color rgb="FF168E4D"/>
      <color rgb="FF0FAA6E"/>
      <color rgb="FFE5310E"/>
      <color rgb="FF337774"/>
      <color rgb="FF006837"/>
      <color rgb="FFB74B2A"/>
      <color rgb="FFE7E6E6"/>
      <color rgb="FFF8F4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7807614240407"/>
          <c:y val="4.425735830846713E-2"/>
          <c:w val="0.85493641205069515"/>
          <c:h val="0.72131556330557578"/>
        </c:manualLayout>
      </c:layout>
      <c:lineChart>
        <c:grouping val="standard"/>
        <c:varyColors val="0"/>
        <c:ser>
          <c:idx val="0"/>
          <c:order val="0"/>
          <c:tx>
            <c:strRef>
              <c:f>'Tracking progress'!$B$69</c:f>
              <c:strCache>
                <c:ptCount val="1"/>
                <c:pt idx="0">
                  <c:v>Reference climate scenario (theoretical example)</c:v>
                </c:pt>
              </c:strCache>
            </c:strRef>
          </c:tx>
          <c:spPr>
            <a:ln w="28575" cap="rnd">
              <a:solidFill>
                <a:srgbClr val="B4C965"/>
              </a:solidFill>
              <a:round/>
            </a:ln>
            <a:effectLst/>
          </c:spPr>
          <c:marker>
            <c:symbol val="none"/>
          </c:marker>
          <c:cat>
            <c:strRef>
              <c:f>'Tracking progress'!$C$68:$I$68</c:f>
              <c:strCache>
                <c:ptCount val="7"/>
                <c:pt idx="0">
                  <c:v>2020
(base year)</c:v>
                </c:pt>
                <c:pt idx="1">
                  <c:v>2025</c:v>
                </c:pt>
                <c:pt idx="2">
                  <c:v>2030
(target year)</c:v>
                </c:pt>
                <c:pt idx="3">
                  <c:v>2035</c:v>
                </c:pt>
                <c:pt idx="4">
                  <c:v>2040</c:v>
                </c:pt>
                <c:pt idx="5">
                  <c:v>2045</c:v>
                </c:pt>
                <c:pt idx="6">
                  <c:v>2050</c:v>
                </c:pt>
              </c:strCache>
            </c:strRef>
          </c:cat>
          <c:val>
            <c:numRef>
              <c:f>'Tracking progress'!$C$69:$I$69</c:f>
              <c:numCache>
                <c:formatCode>_-* #\ ##0_-;\-* #\ ##0_-;_-* "-"??_-;_-@_-</c:formatCode>
                <c:ptCount val="7"/>
                <c:pt idx="0">
                  <c:v>30000</c:v>
                </c:pt>
                <c:pt idx="1">
                  <c:v>21000</c:v>
                </c:pt>
                <c:pt idx="2">
                  <c:v>14500</c:v>
                </c:pt>
                <c:pt idx="3">
                  <c:v>9000</c:v>
                </c:pt>
                <c:pt idx="4">
                  <c:v>5000</c:v>
                </c:pt>
                <c:pt idx="5">
                  <c:v>2500</c:v>
                </c:pt>
                <c:pt idx="6">
                  <c:v>0</c:v>
                </c:pt>
              </c:numCache>
            </c:numRef>
          </c:val>
          <c:smooth val="0"/>
          <c:extLst>
            <c:ext xmlns:c16="http://schemas.microsoft.com/office/drawing/2014/chart" uri="{C3380CC4-5D6E-409C-BE32-E72D297353CC}">
              <c16:uniqueId val="{00000000-2649-47BE-8776-F9D2084F1304}"/>
            </c:ext>
          </c:extLst>
        </c:ser>
        <c:ser>
          <c:idx val="1"/>
          <c:order val="1"/>
          <c:tx>
            <c:strRef>
              <c:f>'Tracking progress'!$B$70</c:f>
              <c:strCache>
                <c:ptCount val="1"/>
                <c:pt idx="0">
                  <c:v>Decarbonisation trajectory</c:v>
                </c:pt>
              </c:strCache>
            </c:strRef>
          </c:tx>
          <c:spPr>
            <a:ln w="28575" cap="rnd">
              <a:solidFill>
                <a:srgbClr val="33777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2649-47BE-8776-F9D2084F1304}"/>
                </c:ext>
              </c:extLst>
            </c:dLbl>
            <c:dLbl>
              <c:idx val="1"/>
              <c:delete val="1"/>
              <c:extLst>
                <c:ext xmlns:c15="http://schemas.microsoft.com/office/drawing/2012/chart" uri="{CE6537A1-D6FC-4f65-9D91-7224C49458BB}"/>
                <c:ext xmlns:c16="http://schemas.microsoft.com/office/drawing/2014/chart" uri="{C3380CC4-5D6E-409C-BE32-E72D297353CC}">
                  <c16:uniqueId val="{00000002-2649-47BE-8776-F9D2084F1304}"/>
                </c:ext>
              </c:extLst>
            </c:dLbl>
            <c:dLbl>
              <c:idx val="2"/>
              <c:delete val="1"/>
              <c:extLst>
                <c:ext xmlns:c15="http://schemas.microsoft.com/office/drawing/2012/chart" uri="{CE6537A1-D6FC-4f65-9D91-7224C49458BB}"/>
                <c:ext xmlns:c16="http://schemas.microsoft.com/office/drawing/2014/chart" uri="{C3380CC4-5D6E-409C-BE32-E72D297353CC}">
                  <c16:uniqueId val="{00000003-2649-47BE-8776-F9D2084F1304}"/>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'Tracking progress'!$C$68:$I$68</c:f>
              <c:strCache>
                <c:ptCount val="7"/>
                <c:pt idx="0">
                  <c:v>2020
(base year)</c:v>
                </c:pt>
                <c:pt idx="1">
                  <c:v>2025</c:v>
                </c:pt>
                <c:pt idx="2">
                  <c:v>2030
(target year)</c:v>
                </c:pt>
                <c:pt idx="3">
                  <c:v>2035</c:v>
                </c:pt>
                <c:pt idx="4">
                  <c:v>2040</c:v>
                </c:pt>
                <c:pt idx="5">
                  <c:v>2045</c:v>
                </c:pt>
                <c:pt idx="6">
                  <c:v>2050</c:v>
                </c:pt>
              </c:strCache>
            </c:strRef>
          </c:cat>
          <c:val>
            <c:numRef>
              <c:f>'Tracking progress'!$C$70:$I$70</c:f>
              <c:numCache>
                <c:formatCode>_-* #\ ##0_-;\-* #\ ##0_-;_-* "-"??_-;_-@_-</c:formatCode>
                <c:ptCount val="7"/>
                <c:pt idx="0">
                  <c:v>30000</c:v>
                </c:pt>
                <c:pt idx="1">
                  <c:v>22250</c:v>
                </c:pt>
                <c:pt idx="2">
                  <c:v>14500</c:v>
                </c:pt>
              </c:numCache>
            </c:numRef>
          </c:val>
          <c:smooth val="0"/>
          <c:extLst>
            <c:ext xmlns:c16="http://schemas.microsoft.com/office/drawing/2014/chart" uri="{C3380CC4-5D6E-409C-BE32-E72D297353CC}">
              <c16:uniqueId val="{00000004-2649-47BE-8776-F9D2084F1304}"/>
            </c:ext>
          </c:extLst>
        </c:ser>
        <c:dLbls>
          <c:showLegendKey val="0"/>
          <c:showVal val="0"/>
          <c:showCatName val="0"/>
          <c:showSerName val="0"/>
          <c:showPercent val="0"/>
          <c:showBubbleSize val="0"/>
        </c:dLbls>
        <c:smooth val="0"/>
        <c:axId val="541802696"/>
        <c:axId val="541804992"/>
      </c:lineChart>
      <c:catAx>
        <c:axId val="541802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541804992"/>
        <c:crosses val="autoZero"/>
        <c:auto val="1"/>
        <c:lblAlgn val="ctr"/>
        <c:lblOffset val="100"/>
        <c:noMultiLvlLbl val="0"/>
      </c:catAx>
      <c:valAx>
        <c:axId val="541804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de-AT" sz="1050"/>
                  <a:t>GHG</a:t>
                </a:r>
                <a:r>
                  <a:rPr lang="de-AT" sz="1050" baseline="0"/>
                  <a:t> e</a:t>
                </a:r>
                <a:r>
                  <a:rPr lang="de-AT" sz="1050"/>
                  <a:t>missions in MtCO</a:t>
                </a:r>
                <a:r>
                  <a:rPr lang="de-AT" sz="1050" baseline="-25000"/>
                  <a:t>2</a:t>
                </a:r>
                <a:r>
                  <a:rPr lang="de-AT" sz="1050" baseline="0"/>
                  <a:t>eq</a:t>
                </a:r>
              </a:p>
            </c:rich>
          </c:tx>
          <c:layout>
            <c:manualLayout>
              <c:xMode val="edge"/>
              <c:yMode val="edge"/>
              <c:x val="6.7065255275220084E-3"/>
              <c:y val="0.12792459446156543"/>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541802696"/>
        <c:crosses val="autoZero"/>
        <c:crossBetween val="between"/>
      </c:valAx>
      <c:spPr>
        <a:solidFill>
          <a:srgbClr val="F8F4F1"/>
        </a:solid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rgbClr val="F8F4F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57723158237357E-2"/>
          <c:y val="8.3617409863470132E-2"/>
          <c:w val="0.65328415587239608"/>
          <c:h val="0.86952280535447957"/>
        </c:manualLayout>
      </c:layout>
      <c:barChart>
        <c:barDir val="col"/>
        <c:grouping val="clustered"/>
        <c:varyColors val="0"/>
        <c:ser>
          <c:idx val="0"/>
          <c:order val="0"/>
          <c:tx>
            <c:strRef>
              <c:f>'Tracking progress'!$B$40</c:f>
              <c:strCache>
                <c:ptCount val="1"/>
                <c:pt idx="0">
                  <c:v>Annual CPEP results</c:v>
                </c:pt>
              </c:strCache>
            </c:strRef>
          </c:tx>
          <c:spPr>
            <a:solidFill>
              <a:srgbClr val="168E4D"/>
            </a:solidFill>
            <a:ln>
              <a:noFill/>
            </a:ln>
            <a:effectLst/>
          </c:spPr>
          <c:invertIfNegative val="0"/>
          <c:dLbls>
            <c:dLbl>
              <c:idx val="2"/>
              <c:layout>
                <c:manualLayout>
                  <c:x val="0"/>
                  <c:y val="5.35953324737369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78-4DC3-BD25-34BF40BF6FCD}"/>
                </c:ext>
              </c:extLst>
            </c:dLbl>
            <c:dLbl>
              <c:idx val="4"/>
              <c:layout>
                <c:manualLayout>
                  <c:x val="0"/>
                  <c:y val="0.398228757463926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78-4DC3-BD25-34BF40BF6F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'Tracking progress'!$C$39:$H$39</c:f>
              <c:strCache>
                <c:ptCount val="6"/>
                <c:pt idx="0">
                  <c:v>2021</c:v>
                </c:pt>
                <c:pt idx="1">
                  <c:v>2022</c:v>
                </c:pt>
                <c:pt idx="2">
                  <c:v>2023</c:v>
                </c:pt>
                <c:pt idx="3">
                  <c:v>2024</c:v>
                </c:pt>
                <c:pt idx="4">
                  <c:v>2025</c:v>
                </c:pt>
                <c:pt idx="5">
                  <c:v>2026-2030</c:v>
                </c:pt>
              </c:strCache>
            </c:strRef>
          </c:cat>
          <c:val>
            <c:numRef>
              <c:f>'Tracking progress'!$C$40:$H$40</c:f>
              <c:numCache>
                <c:formatCode>0.0%</c:formatCode>
                <c:ptCount val="6"/>
                <c:pt idx="0">
                  <c:v>-3.5000000000000003E-2</c:v>
                </c:pt>
                <c:pt idx="1">
                  <c:v>-5.5E-2</c:v>
                </c:pt>
                <c:pt idx="2">
                  <c:v>5.0000000000000001E-3</c:v>
                </c:pt>
                <c:pt idx="3">
                  <c:v>-5.5E-2</c:v>
                </c:pt>
                <c:pt idx="4">
                  <c:v>-8.5000000000000006E-2</c:v>
                </c:pt>
              </c:numCache>
            </c:numRef>
          </c:val>
          <c:extLst>
            <c:ext xmlns:c16="http://schemas.microsoft.com/office/drawing/2014/chart" uri="{C3380CC4-5D6E-409C-BE32-E72D297353CC}">
              <c16:uniqueId val="{00000002-9078-4DC3-BD25-34BF40BF6FCD}"/>
            </c:ext>
          </c:extLst>
        </c:ser>
        <c:ser>
          <c:idx val="3"/>
          <c:order val="3"/>
          <c:tx>
            <c:strRef>
              <c:f>'Tracking progress'!$B$43</c:f>
              <c:strCache>
                <c:ptCount val="1"/>
                <c:pt idx="0">
                  <c:v>Decarbonisation trajectory for the remaining target period (2026-2030)</c:v>
                </c:pt>
              </c:strCache>
            </c:strRef>
          </c:tx>
          <c:spPr>
            <a:solidFill>
              <a:srgbClr val="B4C965"/>
            </a:solidFill>
            <a:ln>
              <a:solidFill>
                <a:schemeClr val="tx1">
                  <a:lumMod val="50000"/>
                  <a:lumOff val="50000"/>
                </a:schemeClr>
              </a:solidFill>
              <a:prstDash val="dash"/>
            </a:ln>
            <a:effectLst/>
          </c:spPr>
          <c:invertIfNegative val="0"/>
          <c:dLbls>
            <c:dLbl>
              <c:idx val="5"/>
              <c:layout>
                <c:manualLayout>
                  <c:x val="-6.2423939387064211E-4"/>
                  <c:y val="7.9298576235204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78-4DC3-BD25-34BF40BF6F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'Tracking progress'!$C$39:$H$39</c:f>
              <c:strCache>
                <c:ptCount val="6"/>
                <c:pt idx="0">
                  <c:v>2021</c:v>
                </c:pt>
                <c:pt idx="1">
                  <c:v>2022</c:v>
                </c:pt>
                <c:pt idx="2">
                  <c:v>2023</c:v>
                </c:pt>
                <c:pt idx="3">
                  <c:v>2024</c:v>
                </c:pt>
                <c:pt idx="4">
                  <c:v>2025</c:v>
                </c:pt>
                <c:pt idx="5">
                  <c:v>2026-2030</c:v>
                </c:pt>
              </c:strCache>
            </c:strRef>
          </c:cat>
          <c:val>
            <c:numRef>
              <c:f>'Tracking progress'!$C$43:$H$43</c:f>
              <c:numCache>
                <c:formatCode>General</c:formatCode>
                <c:ptCount val="6"/>
                <c:pt idx="5" formatCode="0.0%">
                  <c:v>-9.5249558779711238E-2</c:v>
                </c:pt>
              </c:numCache>
            </c:numRef>
          </c:val>
          <c:extLst>
            <c:ext xmlns:c16="http://schemas.microsoft.com/office/drawing/2014/chart" uri="{C3380CC4-5D6E-409C-BE32-E72D297353CC}">
              <c16:uniqueId val="{00000004-9078-4DC3-BD25-34BF40BF6FCD}"/>
            </c:ext>
          </c:extLst>
        </c:ser>
        <c:dLbls>
          <c:showLegendKey val="0"/>
          <c:showVal val="0"/>
          <c:showCatName val="0"/>
          <c:showSerName val="0"/>
          <c:showPercent val="0"/>
          <c:showBubbleSize val="0"/>
        </c:dLbls>
        <c:gapWidth val="150"/>
        <c:overlap val="100"/>
        <c:axId val="393413752"/>
        <c:axId val="393414080"/>
      </c:barChart>
      <c:lineChart>
        <c:grouping val="standard"/>
        <c:varyColors val="0"/>
        <c:ser>
          <c:idx val="2"/>
          <c:order val="1"/>
          <c:tx>
            <c:strRef>
              <c:f>'Tracking progress'!$B$41</c:f>
              <c:strCache>
                <c:ptCount val="1"/>
                <c:pt idx="0">
                  <c:v>Average CPEP results (2020-2025)</c:v>
                </c:pt>
              </c:strCache>
            </c:strRef>
          </c:tx>
          <c:spPr>
            <a:ln w="28575" cap="rnd">
              <a:solidFill>
                <a:srgbClr val="168E4D"/>
              </a:solidFill>
              <a:prstDash val="dash"/>
              <a:round/>
            </a:ln>
            <a:effectLst/>
          </c:spPr>
          <c:marker>
            <c:symbol val="none"/>
          </c:marker>
          <c:dLbls>
            <c:dLbl>
              <c:idx val="0"/>
              <c:layout>
                <c:manualLayout>
                  <c:x val="-5.5287716211006581E-2"/>
                  <c:y val="-2.285218683732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78-4DC3-BD25-34BF40BF6FCD}"/>
                </c:ext>
              </c:extLst>
            </c:dLbl>
            <c:dLbl>
              <c:idx val="1"/>
              <c:delete val="1"/>
              <c:extLst>
                <c:ext xmlns:c15="http://schemas.microsoft.com/office/drawing/2012/chart" uri="{CE6537A1-D6FC-4f65-9D91-7224C49458BB}"/>
                <c:ext xmlns:c16="http://schemas.microsoft.com/office/drawing/2014/chart" uri="{C3380CC4-5D6E-409C-BE32-E72D297353CC}">
                  <c16:uniqueId val="{00000006-9078-4DC3-BD25-34BF40BF6FCD}"/>
                </c:ext>
              </c:extLst>
            </c:dLbl>
            <c:dLbl>
              <c:idx val="2"/>
              <c:delete val="1"/>
              <c:extLst>
                <c:ext xmlns:c15="http://schemas.microsoft.com/office/drawing/2012/chart" uri="{CE6537A1-D6FC-4f65-9D91-7224C49458BB}"/>
                <c:ext xmlns:c16="http://schemas.microsoft.com/office/drawing/2014/chart" uri="{C3380CC4-5D6E-409C-BE32-E72D297353CC}">
                  <c16:uniqueId val="{00000007-9078-4DC3-BD25-34BF40BF6FCD}"/>
                </c:ext>
              </c:extLst>
            </c:dLbl>
            <c:dLbl>
              <c:idx val="3"/>
              <c:delete val="1"/>
              <c:extLst>
                <c:ext xmlns:c15="http://schemas.microsoft.com/office/drawing/2012/chart" uri="{CE6537A1-D6FC-4f65-9D91-7224C49458BB}"/>
                <c:ext xmlns:c16="http://schemas.microsoft.com/office/drawing/2014/chart" uri="{C3380CC4-5D6E-409C-BE32-E72D297353CC}">
                  <c16:uniqueId val="{00000008-9078-4DC3-BD25-34BF40BF6FCD}"/>
                </c:ext>
              </c:extLst>
            </c:dLbl>
            <c:dLbl>
              <c:idx val="4"/>
              <c:delete val="1"/>
              <c:extLst>
                <c:ext xmlns:c15="http://schemas.microsoft.com/office/drawing/2012/chart" uri="{CE6537A1-D6FC-4f65-9D91-7224C49458BB}"/>
                <c:ext xmlns:c16="http://schemas.microsoft.com/office/drawing/2014/chart" uri="{C3380CC4-5D6E-409C-BE32-E72D297353CC}">
                  <c16:uniqueId val="{00000009-9078-4DC3-BD25-34BF40BF6F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'Tracking progress'!$C$39:$H$39</c:f>
              <c:strCache>
                <c:ptCount val="6"/>
                <c:pt idx="0">
                  <c:v>2021</c:v>
                </c:pt>
                <c:pt idx="1">
                  <c:v>2022</c:v>
                </c:pt>
                <c:pt idx="2">
                  <c:v>2023</c:v>
                </c:pt>
                <c:pt idx="3">
                  <c:v>2024</c:v>
                </c:pt>
                <c:pt idx="4">
                  <c:v>2025</c:v>
                </c:pt>
                <c:pt idx="5">
                  <c:v>2026-2030</c:v>
                </c:pt>
              </c:strCache>
            </c:strRef>
          </c:cat>
          <c:val>
            <c:numRef>
              <c:f>'Tracking progress'!$C$41:$H$41</c:f>
              <c:numCache>
                <c:formatCode>0.0%</c:formatCode>
                <c:ptCount val="6"/>
                <c:pt idx="0">
                  <c:v>-4.4999999999999998E-2</c:v>
                </c:pt>
                <c:pt idx="1">
                  <c:v>-4.4999999999999998E-2</c:v>
                </c:pt>
                <c:pt idx="2">
                  <c:v>-4.4999999999999998E-2</c:v>
                </c:pt>
                <c:pt idx="3">
                  <c:v>-4.4999999999999998E-2</c:v>
                </c:pt>
                <c:pt idx="4">
                  <c:v>-4.4999999999999998E-2</c:v>
                </c:pt>
              </c:numCache>
            </c:numRef>
          </c:val>
          <c:smooth val="0"/>
          <c:extLst>
            <c:ext xmlns:c16="http://schemas.microsoft.com/office/drawing/2014/chart" uri="{C3380CC4-5D6E-409C-BE32-E72D297353CC}">
              <c16:uniqueId val="{0000000A-9078-4DC3-BD25-34BF40BF6FCD}"/>
            </c:ext>
          </c:extLst>
        </c:ser>
        <c:ser>
          <c:idx val="1"/>
          <c:order val="2"/>
          <c:tx>
            <c:strRef>
              <c:f>'Tracking progress'!$B$42</c:f>
              <c:strCache>
                <c:ptCount val="1"/>
                <c:pt idx="0">
                  <c:v>Decarbonisation trajectory (2020-2030)</c:v>
                </c:pt>
              </c:strCache>
            </c:strRef>
          </c:tx>
          <c:spPr>
            <a:ln w="28575" cap="rnd">
              <a:solidFill>
                <a:srgbClr val="337774"/>
              </a:solidFill>
              <a:round/>
            </a:ln>
            <a:effectLst/>
          </c:spPr>
          <c:marker>
            <c:symbol val="none"/>
          </c:marker>
          <c:dLbls>
            <c:dLbl>
              <c:idx val="0"/>
              <c:layout>
                <c:manualLayout>
                  <c:x val="-5.5287716211006581E-2"/>
                  <c:y val="-2.28521868373203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78-4DC3-BD25-34BF40BF6FCD}"/>
                </c:ext>
              </c:extLst>
            </c:dLbl>
            <c:dLbl>
              <c:idx val="1"/>
              <c:delete val="1"/>
              <c:extLst>
                <c:ext xmlns:c15="http://schemas.microsoft.com/office/drawing/2012/chart" uri="{CE6537A1-D6FC-4f65-9D91-7224C49458BB}"/>
                <c:ext xmlns:c16="http://schemas.microsoft.com/office/drawing/2014/chart" uri="{C3380CC4-5D6E-409C-BE32-E72D297353CC}">
                  <c16:uniqueId val="{0000000C-9078-4DC3-BD25-34BF40BF6FCD}"/>
                </c:ext>
              </c:extLst>
            </c:dLbl>
            <c:dLbl>
              <c:idx val="2"/>
              <c:delete val="1"/>
              <c:extLst>
                <c:ext xmlns:c15="http://schemas.microsoft.com/office/drawing/2012/chart" uri="{CE6537A1-D6FC-4f65-9D91-7224C49458BB}"/>
                <c:ext xmlns:c16="http://schemas.microsoft.com/office/drawing/2014/chart" uri="{C3380CC4-5D6E-409C-BE32-E72D297353CC}">
                  <c16:uniqueId val="{0000000D-9078-4DC3-BD25-34BF40BF6FCD}"/>
                </c:ext>
              </c:extLst>
            </c:dLbl>
            <c:dLbl>
              <c:idx val="3"/>
              <c:delete val="1"/>
              <c:extLst>
                <c:ext xmlns:c15="http://schemas.microsoft.com/office/drawing/2012/chart" uri="{CE6537A1-D6FC-4f65-9D91-7224C49458BB}"/>
                <c:ext xmlns:c16="http://schemas.microsoft.com/office/drawing/2014/chart" uri="{C3380CC4-5D6E-409C-BE32-E72D297353CC}">
                  <c16:uniqueId val="{0000000E-9078-4DC3-BD25-34BF40BF6FCD}"/>
                </c:ext>
              </c:extLst>
            </c:dLbl>
            <c:dLbl>
              <c:idx val="4"/>
              <c:delete val="1"/>
              <c:extLst>
                <c:ext xmlns:c15="http://schemas.microsoft.com/office/drawing/2012/chart" uri="{CE6537A1-D6FC-4f65-9D91-7224C49458BB}"/>
                <c:ext xmlns:c16="http://schemas.microsoft.com/office/drawing/2014/chart" uri="{C3380CC4-5D6E-409C-BE32-E72D297353CC}">
                  <c16:uniqueId val="{0000000F-9078-4DC3-BD25-34BF40BF6F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'Tracking progress'!$C$39:$H$39</c:f>
              <c:strCache>
                <c:ptCount val="6"/>
                <c:pt idx="0">
                  <c:v>2021</c:v>
                </c:pt>
                <c:pt idx="1">
                  <c:v>2022</c:v>
                </c:pt>
                <c:pt idx="2">
                  <c:v>2023</c:v>
                </c:pt>
                <c:pt idx="3">
                  <c:v>2024</c:v>
                </c:pt>
                <c:pt idx="4">
                  <c:v>2025</c:v>
                </c:pt>
                <c:pt idx="5">
                  <c:v>2026-2030</c:v>
                </c:pt>
              </c:strCache>
            </c:strRef>
          </c:cat>
          <c:val>
            <c:numRef>
              <c:f>'Tracking progress'!$C$42:$H$42</c:f>
              <c:numCache>
                <c:formatCode>0.0%</c:formatCode>
                <c:ptCount val="6"/>
                <c:pt idx="0">
                  <c:v>-7.0124779389855618E-2</c:v>
                </c:pt>
                <c:pt idx="1">
                  <c:v>-7.0124779389855618E-2</c:v>
                </c:pt>
                <c:pt idx="2">
                  <c:v>-7.0124779389855618E-2</c:v>
                </c:pt>
                <c:pt idx="3">
                  <c:v>-7.0124779389855618E-2</c:v>
                </c:pt>
                <c:pt idx="4">
                  <c:v>-7.0124779389855618E-2</c:v>
                </c:pt>
              </c:numCache>
            </c:numRef>
          </c:val>
          <c:smooth val="0"/>
          <c:extLst>
            <c:ext xmlns:c16="http://schemas.microsoft.com/office/drawing/2014/chart" uri="{C3380CC4-5D6E-409C-BE32-E72D297353CC}">
              <c16:uniqueId val="{00000010-9078-4DC3-BD25-34BF40BF6FCD}"/>
            </c:ext>
          </c:extLst>
        </c:ser>
        <c:dLbls>
          <c:showLegendKey val="0"/>
          <c:showVal val="1"/>
          <c:showCatName val="0"/>
          <c:showSerName val="0"/>
          <c:showPercent val="0"/>
          <c:showBubbleSize val="0"/>
        </c:dLbls>
        <c:marker val="1"/>
        <c:smooth val="0"/>
        <c:axId val="393413752"/>
        <c:axId val="393414080"/>
      </c:lineChart>
      <c:catAx>
        <c:axId val="393413752"/>
        <c:scaling>
          <c:orientation val="minMax"/>
        </c:scaling>
        <c:delete val="0"/>
        <c:axPos val="b"/>
        <c:numFmt formatCode="General" sourceLinked="1"/>
        <c:majorTickMark val="none"/>
        <c:minorTickMark val="none"/>
        <c:tickLblPos val="high"/>
        <c:spPr>
          <a:noFill/>
          <a:ln w="12700" cap="flat" cmpd="sng" algn="ctr">
            <a:solidFill>
              <a:schemeClr val="tx1">
                <a:lumMod val="50000"/>
                <a:lumOff val="50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393414080"/>
        <c:crosses val="autoZero"/>
        <c:auto val="1"/>
        <c:lblAlgn val="ctr"/>
        <c:lblOffset val="100"/>
        <c:noMultiLvlLbl val="0"/>
      </c:catAx>
      <c:valAx>
        <c:axId val="393414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de-AT" sz="1050"/>
                  <a:t>Emission performance</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title>
        <c:numFmt formatCode="0.0\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393413752"/>
        <c:crosses val="autoZero"/>
        <c:crossBetween val="between"/>
      </c:valAx>
      <c:spPr>
        <a:noFill/>
        <a:ln>
          <a:noFill/>
        </a:ln>
        <a:effectLst/>
      </c:spPr>
    </c:plotArea>
    <c:legend>
      <c:legendPos val="tr"/>
      <c:layout>
        <c:manualLayout>
          <c:xMode val="edge"/>
          <c:yMode val="edge"/>
          <c:x val="0.76885047497136405"/>
          <c:y val="0.1111367865771702"/>
          <c:w val="0.22950954291738535"/>
          <c:h val="0.7838002289357627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1"/>
    <c:dispBlanksAs val="gap"/>
    <c:showDLblsOverMax val="0"/>
  </c:chart>
  <c:spPr>
    <a:solidFill>
      <a:srgbClr val="F8F4F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4001531</xdr:colOff>
      <xdr:row>6</xdr:row>
      <xdr:rowOff>1796</xdr:rowOff>
    </xdr:to>
    <xdr:pic>
      <xdr:nvPicPr>
        <xdr:cNvPr id="3" name="Grafik 2" descr="Logo of the Federal Ministry of Agriculture and Forestry, Climate and Environmental Protection, Regions and Water Management, Republic of Austria and the logo of the Environment Agency Austria.">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1507" t="2932" r="58022" b="4695"/>
        <a:stretch/>
      </xdr:blipFill>
      <xdr:spPr>
        <a:xfrm>
          <a:off x="0" y="1"/>
          <a:ext cx="5594804" cy="1140713"/>
        </a:xfrm>
        <a:prstGeom prst="rect">
          <a:avLst/>
        </a:prstGeom>
      </xdr:spPr>
    </xdr:pic>
    <xdr:clientData/>
  </xdr:twoCellAnchor>
  <xdr:twoCellAnchor editAs="oneCell">
    <xdr:from>
      <xdr:col>2</xdr:col>
      <xdr:colOff>3959088</xdr:colOff>
      <xdr:row>0</xdr:row>
      <xdr:rowOff>86592</xdr:rowOff>
    </xdr:from>
    <xdr:to>
      <xdr:col>2</xdr:col>
      <xdr:colOff>5489863</xdr:colOff>
      <xdr:row>5</xdr:row>
      <xdr:rowOff>94236</xdr:rowOff>
    </xdr:to>
    <xdr:pic>
      <xdr:nvPicPr>
        <xdr:cNvPr id="4" name="Grafik 3" descr="Logo of the Green Finance Alliance">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84218" t="2932" r="1899" b="4695"/>
        <a:stretch/>
      </xdr:blipFill>
      <xdr:spPr>
        <a:xfrm>
          <a:off x="5552361" y="86592"/>
          <a:ext cx="1530775" cy="963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112060</xdr:colOff>
      <xdr:row>30</xdr:row>
      <xdr:rowOff>1</xdr:rowOff>
    </xdr:from>
    <xdr:to>
      <xdr:col>6</xdr:col>
      <xdr:colOff>717178</xdr:colOff>
      <xdr:row>33</xdr:row>
      <xdr:rowOff>156883</xdr:rowOff>
    </xdr:to>
    <xdr:sp macro="" textlink="">
      <xdr:nvSpPr>
        <xdr:cNvPr id="2" name="Rechteck 1">
          <a:extLst>
            <a:ext uri="{FF2B5EF4-FFF2-40B4-BE49-F238E27FC236}">
              <a16:creationId xmlns:a16="http://schemas.microsoft.com/office/drawing/2014/main" id="{87B932CF-BE06-4C5D-8C6E-52CB7C762693}"/>
            </a:ext>
          </a:extLst>
        </xdr:cNvPr>
        <xdr:cNvSpPr/>
      </xdr:nvSpPr>
      <xdr:spPr>
        <a:xfrm>
          <a:off x="9113185" y="18983326"/>
          <a:ext cx="4224618" cy="67123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de-AT" b="0" i="1">
              <a:solidFill>
                <a:sysClr val="windowText" lastClr="000000"/>
              </a:solidFill>
              <a:effectLst/>
            </a:rPr>
            <a:t>As it is assumed that absolute</a:t>
          </a:r>
          <a:r>
            <a:rPr lang="de-AT" b="0" i="1" baseline="0">
              <a:solidFill>
                <a:sysClr val="windowText" lastClr="000000"/>
              </a:solidFill>
              <a:effectLst/>
            </a:rPr>
            <a:t> emission data is rarely available for specific projects, o</a:t>
          </a:r>
          <a:r>
            <a:rPr lang="de-AT" b="0" i="1">
              <a:solidFill>
                <a:sysClr val="windowText" lastClr="000000"/>
              </a:solidFill>
              <a:effectLst/>
            </a:rPr>
            <a:t>nly the Portfolio-centric Approach (PA) is</a:t>
          </a:r>
          <a:r>
            <a:rPr lang="de-AT" b="0" i="1" baseline="0">
              <a:solidFill>
                <a:sysClr val="windowText" lastClr="000000"/>
              </a:solidFill>
              <a:effectLst/>
            </a:rPr>
            <a:t> applicable for the EPEP (see chapter 2.2.1 in the I-PEPs Methodology Standard).</a:t>
          </a:r>
          <a:endParaRPr lang="de-AT" b="0" i="1">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1281348</xdr:colOff>
      <xdr:row>70</xdr:row>
      <xdr:rowOff>163463</xdr:rowOff>
    </xdr:from>
    <xdr:to>
      <xdr:col>4</xdr:col>
      <xdr:colOff>195371</xdr:colOff>
      <xdr:row>88</xdr:row>
      <xdr:rowOff>111085</xdr:rowOff>
    </xdr:to>
    <xdr:graphicFrame macro="">
      <xdr:nvGraphicFramePr>
        <xdr:cNvPr id="2" name="Diagramm 1" descr="The figure shows the decarbonisation trajectory of the sample calculation between the base year (2020) and the target year (2030) as well as the target curve according to the reference climate scenario (based on a theoretical example) until 2050.">
          <a:extLst>
            <a:ext uri="{FF2B5EF4-FFF2-40B4-BE49-F238E27FC236}">
              <a16:creationId xmlns:a16="http://schemas.microsoft.com/office/drawing/2014/main" id="{6AA2BD70-B984-4126-AF89-098A31563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935</xdr:colOff>
      <xdr:row>43</xdr:row>
      <xdr:rowOff>154081</xdr:rowOff>
    </xdr:from>
    <xdr:to>
      <xdr:col>6</xdr:col>
      <xdr:colOff>436885</xdr:colOff>
      <xdr:row>64</xdr:row>
      <xdr:rowOff>61347</xdr:rowOff>
    </xdr:to>
    <xdr:graphicFrame macro="">
      <xdr:nvGraphicFramePr>
        <xdr:cNvPr id="3" name="Diagramm 2" descr="The graph shows the annual I-PEPs results of the sample calculation and their arithmetic average value compared to the decarbonisation trajetory.">
          <a:extLst>
            <a:ext uri="{FF2B5EF4-FFF2-40B4-BE49-F238E27FC236}">
              <a16:creationId xmlns:a16="http://schemas.microsoft.com/office/drawing/2014/main" id="{2571E4EF-97B5-45D7-BBB8-6DEAF1DD81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134469</xdr:colOff>
      <xdr:row>22</xdr:row>
      <xdr:rowOff>0</xdr:rowOff>
    </xdr:from>
    <xdr:to>
      <xdr:col>12</xdr:col>
      <xdr:colOff>457199</xdr:colOff>
      <xdr:row>24</xdr:row>
      <xdr:rowOff>176478</xdr:rowOff>
    </xdr:to>
    <xdr:sp macro="" textlink="">
      <xdr:nvSpPr>
        <xdr:cNvPr id="4" name="Rechteck 3">
          <a:extLst>
            <a:ext uri="{FF2B5EF4-FFF2-40B4-BE49-F238E27FC236}">
              <a16:creationId xmlns:a16="http://schemas.microsoft.com/office/drawing/2014/main" id="{C05C0C82-24EA-4BB4-B1A4-4267BCAB2AB4}"/>
            </a:ext>
          </a:extLst>
        </xdr:cNvPr>
        <xdr:cNvSpPr/>
      </xdr:nvSpPr>
      <xdr:spPr>
        <a:xfrm>
          <a:off x="9783294" y="4733925"/>
          <a:ext cx="4589930" cy="55747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de-AT" b="0" i="1">
              <a:solidFill>
                <a:sysClr val="windowText" lastClr="000000"/>
              </a:solidFill>
              <a:effectLst/>
            </a:rPr>
            <a:t>The base year of</a:t>
          </a:r>
          <a:r>
            <a:rPr lang="de-AT" b="0" i="1" baseline="0">
              <a:solidFill>
                <a:sysClr val="windowText" lastClr="000000"/>
              </a:solidFill>
              <a:effectLst/>
            </a:rPr>
            <a:t> the target is used as reference year for calculating the first annual CPEP result. Therefore the first CPEP result is for 2021 (base year + 1).</a:t>
          </a:r>
          <a:endParaRPr lang="de-AT" b="0" i="1">
            <a:solidFill>
              <a:sysClr val="windowText" lastClr="000000"/>
            </a:solidFill>
            <a:effectLst/>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0.19492</cdr:x>
      <cdr:y>0.05103</cdr:y>
    </cdr:from>
    <cdr:to>
      <cdr:x>0.19492</cdr:x>
      <cdr:y>0.76535</cdr:y>
    </cdr:to>
    <cdr:cxnSp macro="">
      <cdr:nvCxnSpPr>
        <cdr:cNvPr id="3" name="Gerader Verbinder 2" descr="Line marks the start of the Decarbonisation tracking (2020)">
          <a:extLst xmlns:a="http://schemas.openxmlformats.org/drawingml/2006/main">
            <a:ext uri="{FF2B5EF4-FFF2-40B4-BE49-F238E27FC236}">
              <a16:creationId xmlns:a16="http://schemas.microsoft.com/office/drawing/2014/main" id="{A1905444-832B-6A0D-33D4-BDC2E13D923F}"/>
            </a:ext>
          </a:extLst>
        </cdr:cNvPr>
        <cdr:cNvCxnSpPr/>
      </cdr:nvCxnSpPr>
      <cdr:spPr>
        <a:xfrm xmlns:a="http://schemas.openxmlformats.org/drawingml/2006/main">
          <a:off x="1094305" y="172312"/>
          <a:ext cx="0" cy="2412000"/>
        </a:xfrm>
        <a:prstGeom xmlns:a="http://schemas.openxmlformats.org/drawingml/2006/main" prst="line">
          <a:avLst/>
        </a:prstGeom>
        <a:ln xmlns:a="http://schemas.openxmlformats.org/drawingml/2006/main">
          <a:solidFill>
            <a:srgbClr val="337774"/>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0.44651</cdr:x>
      <cdr:y>0.05103</cdr:y>
    </cdr:from>
    <cdr:to>
      <cdr:x>0.44651</cdr:x>
      <cdr:y>0.76535</cdr:y>
    </cdr:to>
    <cdr:cxnSp macro="">
      <cdr:nvCxnSpPr>
        <cdr:cNvPr id="9" name="Gerader Verbinder 8" descr="Line marks the end of the Decarbonisation tracking (2030)">
          <a:extLst xmlns:a="http://schemas.openxmlformats.org/drawingml/2006/main">
            <a:ext uri="{FF2B5EF4-FFF2-40B4-BE49-F238E27FC236}">
              <a16:creationId xmlns:a16="http://schemas.microsoft.com/office/drawing/2014/main" id="{C51CE239-095C-6721-79B5-7947E17CBF40}"/>
            </a:ext>
          </a:extLst>
        </cdr:cNvPr>
        <cdr:cNvCxnSpPr/>
      </cdr:nvCxnSpPr>
      <cdr:spPr>
        <a:xfrm xmlns:a="http://schemas.openxmlformats.org/drawingml/2006/main">
          <a:off x="2506716" y="172312"/>
          <a:ext cx="0" cy="2412000"/>
        </a:xfrm>
        <a:prstGeom xmlns:a="http://schemas.openxmlformats.org/drawingml/2006/main" prst="line">
          <a:avLst/>
        </a:prstGeom>
        <a:ln xmlns:a="http://schemas.openxmlformats.org/drawingml/2006/main">
          <a:solidFill>
            <a:srgbClr val="337774"/>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0.17156</cdr:x>
      <cdr:y>0.16121</cdr:y>
    </cdr:from>
    <cdr:to>
      <cdr:x>0.48115</cdr:x>
      <cdr:y>0.3091</cdr:y>
    </cdr:to>
    <cdr:sp macro="" textlink="">
      <cdr:nvSpPr>
        <cdr:cNvPr id="10" name="Rechteck 9"/>
        <cdr:cNvSpPr/>
      </cdr:nvSpPr>
      <cdr:spPr>
        <a:xfrm xmlns:a="http://schemas.openxmlformats.org/drawingml/2006/main" rot="2284043">
          <a:off x="988705" y="518824"/>
          <a:ext cx="1784221" cy="47595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de-DE" sz="1000">
              <a:solidFill>
                <a:srgbClr val="337774"/>
              </a:solidFill>
            </a:rPr>
            <a:t>Decarbonisation trajectory</a:t>
          </a:r>
        </a:p>
        <a:p xmlns:a="http://schemas.openxmlformats.org/drawingml/2006/main">
          <a:pPr algn="ctr"/>
          <a:r>
            <a:rPr lang="de-DE" sz="1000" b="1">
              <a:solidFill>
                <a:srgbClr val="337774"/>
              </a:solidFill>
            </a:rPr>
            <a:t>-7,0% per year</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f-alliance@umweltbundesamt.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7:D26"/>
  <sheetViews>
    <sheetView showGridLines="0" tabSelected="1" zoomScale="145" zoomScaleNormal="145" workbookViewId="0">
      <selection activeCell="C10" sqref="C10"/>
    </sheetView>
  </sheetViews>
  <sheetFormatPr baseColWidth="10" defaultRowHeight="15" x14ac:dyDescent="0.25"/>
  <cols>
    <col min="1" max="1" width="2.7109375" customWidth="1"/>
    <col min="2" max="2" width="21.28515625" customWidth="1"/>
    <col min="3" max="3" width="143" customWidth="1"/>
    <col min="4" max="4" width="2.28515625" customWidth="1"/>
  </cols>
  <sheetData>
    <row r="7" spans="2:4" x14ac:dyDescent="0.25">
      <c r="B7" s="167" t="s">
        <v>58</v>
      </c>
      <c r="C7" s="112" t="s">
        <v>59</v>
      </c>
    </row>
    <row r="8" spans="2:4" ht="15.75" thickBot="1" x14ac:dyDescent="0.3"/>
    <row r="9" spans="2:4" x14ac:dyDescent="0.25">
      <c r="B9" s="161" t="s">
        <v>60</v>
      </c>
      <c r="C9" s="162"/>
      <c r="D9" s="163"/>
    </row>
    <row r="10" spans="2:4" ht="96" customHeight="1" thickBot="1" x14ac:dyDescent="0.3">
      <c r="B10" s="158"/>
      <c r="C10" s="159" t="s">
        <v>151</v>
      </c>
      <c r="D10" s="160"/>
    </row>
    <row r="12" spans="2:4" ht="15.75" thickBot="1" x14ac:dyDescent="0.3"/>
    <row r="13" spans="2:4" x14ac:dyDescent="0.25">
      <c r="B13" s="161" t="s">
        <v>61</v>
      </c>
      <c r="C13" s="162"/>
      <c r="D13" s="163"/>
    </row>
    <row r="14" spans="2:4" ht="106.5" customHeight="1" x14ac:dyDescent="0.25">
      <c r="B14" s="168" t="s">
        <v>143</v>
      </c>
      <c r="C14" s="114" t="s">
        <v>145</v>
      </c>
      <c r="D14" s="113"/>
    </row>
    <row r="15" spans="2:4" ht="106.5" customHeight="1" x14ac:dyDescent="0.25">
      <c r="B15" s="193" t="s">
        <v>144</v>
      </c>
      <c r="C15" s="164" t="s">
        <v>149</v>
      </c>
      <c r="D15" s="142"/>
    </row>
    <row r="16" spans="2:4" ht="108" customHeight="1" x14ac:dyDescent="0.25">
      <c r="B16" s="166" t="s">
        <v>85</v>
      </c>
      <c r="C16" s="114" t="s">
        <v>146</v>
      </c>
      <c r="D16" s="113"/>
    </row>
    <row r="17" spans="2:4" ht="138" customHeight="1" x14ac:dyDescent="0.25">
      <c r="B17" s="165" t="s">
        <v>114</v>
      </c>
      <c r="C17" s="164" t="s">
        <v>147</v>
      </c>
      <c r="D17" s="142"/>
    </row>
    <row r="18" spans="2:4" ht="79.5" customHeight="1" thickBot="1" x14ac:dyDescent="0.3">
      <c r="B18" s="158" t="s">
        <v>86</v>
      </c>
      <c r="C18" s="159" t="s">
        <v>148</v>
      </c>
      <c r="D18" s="160"/>
    </row>
    <row r="20" spans="2:4" ht="15.75" thickBot="1" x14ac:dyDescent="0.3"/>
    <row r="21" spans="2:4" x14ac:dyDescent="0.25">
      <c r="B21" s="161" t="s">
        <v>62</v>
      </c>
      <c r="C21" s="162"/>
      <c r="D21" s="163"/>
    </row>
    <row r="22" spans="2:4" ht="65.25" customHeight="1" thickBot="1" x14ac:dyDescent="0.3">
      <c r="B22" s="158"/>
      <c r="C22" s="159" t="s">
        <v>150</v>
      </c>
      <c r="D22" s="160"/>
    </row>
    <row r="24" spans="2:4" ht="15.75" thickBot="1" x14ac:dyDescent="0.3"/>
    <row r="25" spans="2:4" x14ac:dyDescent="0.25">
      <c r="B25" s="161" t="s">
        <v>63</v>
      </c>
      <c r="C25" s="162"/>
      <c r="D25" s="163"/>
    </row>
    <row r="26" spans="2:4" ht="109.5" customHeight="1" thickBot="1" x14ac:dyDescent="0.3">
      <c r="B26" s="158"/>
      <c r="C26" s="159" t="s">
        <v>87</v>
      </c>
      <c r="D26" s="160"/>
    </row>
  </sheetData>
  <hyperlinks>
    <hyperlink ref="C7" r:id="rId1" xr:uid="{00000000-0004-0000-0000-000000000000}"/>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6F1DD-F85D-487A-B7B1-133B561FD0E8}">
  <sheetPr>
    <tabColor rgb="FF168E4D"/>
  </sheetPr>
  <dimension ref="B1:M65"/>
  <sheetViews>
    <sheetView showGridLines="0" topLeftCell="A13" zoomScale="85" zoomScaleNormal="85" workbookViewId="0">
      <selection activeCell="E26" sqref="E26"/>
    </sheetView>
  </sheetViews>
  <sheetFormatPr baseColWidth="10" defaultRowHeight="15" x14ac:dyDescent="0.25"/>
  <cols>
    <col min="1" max="1" width="18.5703125" customWidth="1"/>
    <col min="2" max="2" width="53.5703125" customWidth="1"/>
    <col min="3" max="3" width="25.42578125" customWidth="1"/>
    <col min="4" max="4" width="37.42578125" customWidth="1"/>
    <col min="5" max="5" width="30.5703125" customWidth="1"/>
    <col min="6" max="6" width="23.7109375" customWidth="1"/>
    <col min="7" max="7" width="23" customWidth="1"/>
    <col min="8" max="8" width="22.5703125" customWidth="1"/>
    <col min="9" max="10" width="22" customWidth="1"/>
  </cols>
  <sheetData>
    <row r="1" spans="2:5" ht="26.25" x14ac:dyDescent="0.4">
      <c r="B1" s="2" t="s">
        <v>115</v>
      </c>
    </row>
    <row r="2" spans="2:5" ht="17.25" customHeight="1" x14ac:dyDescent="0.25">
      <c r="B2" s="173" t="s">
        <v>121</v>
      </c>
      <c r="C2" s="174"/>
      <c r="D2" s="174"/>
      <c r="E2" s="174"/>
    </row>
    <row r="3" spans="2:5" ht="17.25" customHeight="1" x14ac:dyDescent="0.25">
      <c r="B3" s="180" t="s">
        <v>122</v>
      </c>
      <c r="C3" s="174"/>
      <c r="D3" s="174"/>
      <c r="E3" s="174"/>
    </row>
    <row r="4" spans="2:5" x14ac:dyDescent="0.25">
      <c r="B4" s="1"/>
    </row>
    <row r="5" spans="2:5" x14ac:dyDescent="0.25">
      <c r="B5" s="17" t="s">
        <v>6</v>
      </c>
      <c r="C5" s="7"/>
      <c r="D5" s="8"/>
    </row>
    <row r="6" spans="2:5" x14ac:dyDescent="0.25">
      <c r="B6" s="14" t="s">
        <v>7</v>
      </c>
      <c r="C6" s="18" t="s">
        <v>11</v>
      </c>
      <c r="D6" s="77" t="s">
        <v>12</v>
      </c>
    </row>
    <row r="8" spans="2:5" s="57" customFormat="1" ht="23.1" customHeight="1" x14ac:dyDescent="0.25">
      <c r="B8" s="58" t="s">
        <v>130</v>
      </c>
    </row>
    <row r="10" spans="2:5" s="10" customFormat="1" ht="23.1" customHeight="1" x14ac:dyDescent="0.25">
      <c r="B10" s="15" t="s">
        <v>123</v>
      </c>
    </row>
    <row r="12" spans="2:5" s="25" customFormat="1" ht="23.1" customHeight="1" x14ac:dyDescent="0.25">
      <c r="B12" s="24" t="s">
        <v>17</v>
      </c>
    </row>
    <row r="14" spans="2:5" ht="21" customHeight="1" x14ac:dyDescent="0.25">
      <c r="B14" s="33" t="s">
        <v>38</v>
      </c>
      <c r="C14" s="34"/>
      <c r="D14" s="34"/>
      <c r="E14" s="35"/>
    </row>
    <row r="15" spans="2:5" ht="21" customHeight="1" x14ac:dyDescent="0.25">
      <c r="B15" s="46"/>
      <c r="C15" s="55"/>
      <c r="D15" s="19" t="s">
        <v>88</v>
      </c>
      <c r="E15" s="20" t="s">
        <v>88</v>
      </c>
    </row>
    <row r="16" spans="2:5" x14ac:dyDescent="0.25">
      <c r="B16" s="5"/>
      <c r="C16" s="44" t="s">
        <v>18</v>
      </c>
      <c r="D16" s="11" t="s">
        <v>9</v>
      </c>
      <c r="E16" s="12" t="s">
        <v>8</v>
      </c>
    </row>
    <row r="17" spans="2:10" x14ac:dyDescent="0.25">
      <c r="B17" s="37" t="s">
        <v>0</v>
      </c>
      <c r="C17" s="43" t="s">
        <v>50</v>
      </c>
      <c r="D17" s="143">
        <v>3000000</v>
      </c>
      <c r="E17" s="144">
        <v>3000000</v>
      </c>
    </row>
    <row r="18" spans="2:10" x14ac:dyDescent="0.25">
      <c r="B18" s="37" t="s">
        <v>1</v>
      </c>
      <c r="C18" s="43" t="s">
        <v>50</v>
      </c>
      <c r="D18" s="143">
        <v>3000000</v>
      </c>
      <c r="E18" s="144">
        <v>3000000</v>
      </c>
    </row>
    <row r="19" spans="2:10" x14ac:dyDescent="0.25">
      <c r="B19" s="37" t="s">
        <v>2</v>
      </c>
      <c r="C19" s="43" t="s">
        <v>40</v>
      </c>
      <c r="D19" s="143">
        <v>2000000</v>
      </c>
      <c r="E19" s="144">
        <v>2000000</v>
      </c>
    </row>
    <row r="20" spans="2:10" x14ac:dyDescent="0.25">
      <c r="B20" s="37" t="s">
        <v>5</v>
      </c>
      <c r="C20" s="43" t="s">
        <v>40</v>
      </c>
      <c r="D20" s="143">
        <v>2000000</v>
      </c>
      <c r="E20" s="144">
        <v>2000000</v>
      </c>
    </row>
    <row r="21" spans="2:10" x14ac:dyDescent="0.25">
      <c r="B21" s="38" t="s">
        <v>4</v>
      </c>
      <c r="C21" s="45"/>
      <c r="D21" s="145">
        <f>SUM(D17:D20)</f>
        <v>10000000</v>
      </c>
      <c r="E21" s="146">
        <f>SUM(E17:E20)</f>
        <v>10000000</v>
      </c>
    </row>
    <row r="23" spans="2:10" ht="21" customHeight="1" x14ac:dyDescent="0.25">
      <c r="B23" s="33" t="s">
        <v>39</v>
      </c>
      <c r="C23" s="34"/>
      <c r="D23" s="35"/>
    </row>
    <row r="24" spans="2:10" ht="18" x14ac:dyDescent="0.25">
      <c r="B24" s="46"/>
      <c r="C24" s="171" t="s">
        <v>93</v>
      </c>
      <c r="D24" s="172"/>
    </row>
    <row r="25" spans="2:10" x14ac:dyDescent="0.25">
      <c r="B25" s="6"/>
      <c r="C25" s="11" t="s">
        <v>9</v>
      </c>
      <c r="D25" s="12" t="s">
        <v>8</v>
      </c>
    </row>
    <row r="26" spans="2:10" x14ac:dyDescent="0.25">
      <c r="B26" s="37" t="s">
        <v>0</v>
      </c>
      <c r="C26" s="88">
        <v>50000</v>
      </c>
      <c r="D26" s="89">
        <v>40000</v>
      </c>
    </row>
    <row r="27" spans="2:10" x14ac:dyDescent="0.25">
      <c r="B27" s="37" t="s">
        <v>1</v>
      </c>
      <c r="C27" s="88">
        <v>80000</v>
      </c>
      <c r="D27" s="89">
        <v>60000</v>
      </c>
    </row>
    <row r="28" spans="2:10" x14ac:dyDescent="0.25">
      <c r="B28" s="37" t="s">
        <v>2</v>
      </c>
      <c r="C28" s="88">
        <v>12000000</v>
      </c>
      <c r="D28" s="89">
        <v>12000000</v>
      </c>
    </row>
    <row r="29" spans="2:10" x14ac:dyDescent="0.25">
      <c r="B29" s="37" t="s">
        <v>5</v>
      </c>
      <c r="C29" s="88">
        <v>600000</v>
      </c>
      <c r="D29" s="89">
        <v>750000</v>
      </c>
    </row>
    <row r="30" spans="2:10" x14ac:dyDescent="0.25">
      <c r="B30" s="38" t="s">
        <v>4</v>
      </c>
      <c r="C30" s="92">
        <f>SUM(C26:C29)</f>
        <v>12730000</v>
      </c>
      <c r="D30" s="93">
        <f>SUM(D26:D29)</f>
        <v>12850000</v>
      </c>
    </row>
    <row r="32" spans="2:10" x14ac:dyDescent="0.25">
      <c r="J32" s="52"/>
    </row>
    <row r="33" spans="2:13" s="25" customFormat="1" ht="23.1" customHeight="1" x14ac:dyDescent="0.25">
      <c r="B33" s="24" t="s">
        <v>52</v>
      </c>
    </row>
    <row r="34" spans="2:13" ht="14.1" customHeight="1" x14ac:dyDescent="0.25"/>
    <row r="35" spans="2:13" ht="18" customHeight="1" x14ac:dyDescent="0.25">
      <c r="B35" s="33" t="s">
        <v>44</v>
      </c>
      <c r="C35" s="47"/>
      <c r="D35" s="48"/>
    </row>
    <row r="36" spans="2:13" ht="17.25" customHeight="1" x14ac:dyDescent="0.35">
      <c r="B36" s="5"/>
      <c r="C36" s="11" t="s">
        <v>21</v>
      </c>
      <c r="D36" s="12" t="s">
        <v>22</v>
      </c>
      <c r="J36" s="32"/>
    </row>
    <row r="37" spans="2:13" ht="14.1" customHeight="1" x14ac:dyDescent="0.25">
      <c r="B37" s="70" t="s">
        <v>42</v>
      </c>
      <c r="C37" s="94">
        <v>0</v>
      </c>
      <c r="D37" s="95">
        <f>1-C37</f>
        <v>1</v>
      </c>
      <c r="J37" s="32"/>
    </row>
    <row r="38" spans="2:13" ht="14.1" customHeight="1" x14ac:dyDescent="0.25">
      <c r="B38" s="70" t="s">
        <v>41</v>
      </c>
      <c r="C38" s="94">
        <v>0.5</v>
      </c>
      <c r="D38" s="95">
        <f>1-C38</f>
        <v>0.5</v>
      </c>
      <c r="J38" s="32"/>
    </row>
    <row r="39" spans="2:13" ht="14.1" customHeight="1" x14ac:dyDescent="0.25">
      <c r="B39" s="72" t="s">
        <v>43</v>
      </c>
      <c r="C39" s="96">
        <v>1</v>
      </c>
      <c r="D39" s="97">
        <f>1-C39</f>
        <v>0</v>
      </c>
      <c r="I39" s="32"/>
      <c r="J39" s="32"/>
    </row>
    <row r="40" spans="2:13" ht="14.1" customHeight="1" x14ac:dyDescent="0.25"/>
    <row r="41" spans="2:13" ht="14.1" customHeight="1" x14ac:dyDescent="0.25">
      <c r="B41" s="78" t="s">
        <v>45</v>
      </c>
      <c r="C41" s="47"/>
      <c r="D41" s="48"/>
    </row>
    <row r="42" spans="2:13" ht="14.1" customHeight="1" x14ac:dyDescent="0.25">
      <c r="B42" s="68"/>
      <c r="C42" s="116" t="s">
        <v>21</v>
      </c>
      <c r="D42" s="117" t="s">
        <v>22</v>
      </c>
    </row>
    <row r="43" spans="2:13" ht="14.1" customHeight="1" x14ac:dyDescent="0.25">
      <c r="B43" s="63" t="s">
        <v>41</v>
      </c>
      <c r="C43" s="59">
        <f>VLOOKUP(B43,$B$37:$D$39,2,FALSE)</f>
        <v>0.5</v>
      </c>
      <c r="D43" s="60">
        <f>VLOOKUP(B43,$B$37:$D$39,3,FALSE)</f>
        <v>0.5</v>
      </c>
    </row>
    <row r="44" spans="2:13" ht="14.1" customHeight="1" x14ac:dyDescent="0.25"/>
    <row r="46" spans="2:13" s="25" customFormat="1" ht="23.1" customHeight="1" x14ac:dyDescent="0.25">
      <c r="B46" s="24" t="s">
        <v>51</v>
      </c>
    </row>
    <row r="48" spans="2:13" s="36" customFormat="1" ht="21.75" customHeight="1" x14ac:dyDescent="0.25">
      <c r="B48" s="33" t="s">
        <v>46</v>
      </c>
      <c r="C48" s="34"/>
      <c r="D48" s="34"/>
      <c r="E48" s="35"/>
      <c r="L48"/>
      <c r="M48"/>
    </row>
    <row r="49" spans="2:5" ht="36" customHeight="1" x14ac:dyDescent="0.25">
      <c r="B49" s="6"/>
      <c r="C49" s="11" t="s">
        <v>14</v>
      </c>
      <c r="D49" s="11" t="s">
        <v>30</v>
      </c>
      <c r="E49" s="98" t="s">
        <v>10</v>
      </c>
    </row>
    <row r="50" spans="2:5" x14ac:dyDescent="0.25">
      <c r="B50" s="37" t="s">
        <v>0</v>
      </c>
      <c r="C50" s="99">
        <f>E17/E$21</f>
        <v>0.3</v>
      </c>
      <c r="D50" s="100">
        <f>D26/D$30</f>
        <v>3.1128404669260703E-3</v>
      </c>
      <c r="E50" s="101">
        <f>(C50*$D$43)+(D50*$C$43)</f>
        <v>0.15155642023346302</v>
      </c>
    </row>
    <row r="51" spans="2:5" x14ac:dyDescent="0.25">
      <c r="B51" s="37" t="s">
        <v>1</v>
      </c>
      <c r="C51" s="99">
        <f>E18/E$21</f>
        <v>0.3</v>
      </c>
      <c r="D51" s="100">
        <f>D27/D$30</f>
        <v>4.6692607003891049E-3</v>
      </c>
      <c r="E51" s="101">
        <f t="shared" ref="E51:E53" si="0">(C51*$D$43)+(D51*$C$43)</f>
        <v>0.15233463035019454</v>
      </c>
    </row>
    <row r="52" spans="2:5" x14ac:dyDescent="0.25">
      <c r="B52" s="37" t="s">
        <v>2</v>
      </c>
      <c r="C52" s="99">
        <f>E19/E$21</f>
        <v>0.2</v>
      </c>
      <c r="D52" s="100">
        <f>D28/D$30</f>
        <v>0.93385214007782102</v>
      </c>
      <c r="E52" s="101">
        <f t="shared" si="0"/>
        <v>0.56692607003891049</v>
      </c>
    </row>
    <row r="53" spans="2:5" x14ac:dyDescent="0.25">
      <c r="B53" s="37" t="s">
        <v>5</v>
      </c>
      <c r="C53" s="99">
        <f>E20/E$21</f>
        <v>0.2</v>
      </c>
      <c r="D53" s="100">
        <f>D29/D$30</f>
        <v>5.8365758754863814E-2</v>
      </c>
      <c r="E53" s="101">
        <f t="shared" si="0"/>
        <v>0.12918287937743192</v>
      </c>
    </row>
    <row r="54" spans="2:5" x14ac:dyDescent="0.25">
      <c r="B54" s="38" t="s">
        <v>4</v>
      </c>
      <c r="C54" s="102">
        <f>SUM(C50:C53)</f>
        <v>1</v>
      </c>
      <c r="D54" s="102">
        <f>SUM(D50:D53)</f>
        <v>1</v>
      </c>
      <c r="E54" s="103">
        <f>SUM(E50:E53)</f>
        <v>1</v>
      </c>
    </row>
    <row r="55" spans="2:5" ht="14.1" customHeight="1" x14ac:dyDescent="0.25"/>
    <row r="56" spans="2:5" ht="14.1" customHeight="1" x14ac:dyDescent="0.25"/>
    <row r="57" spans="2:5" s="25" customFormat="1" ht="23.1" customHeight="1" x14ac:dyDescent="0.25">
      <c r="B57" s="24" t="s">
        <v>53</v>
      </c>
    </row>
    <row r="59" spans="2:5" x14ac:dyDescent="0.25">
      <c r="B59" s="33" t="s">
        <v>68</v>
      </c>
      <c r="C59" s="8"/>
    </row>
    <row r="60" spans="2:5" x14ac:dyDescent="0.25">
      <c r="B60" s="5" t="s">
        <v>89</v>
      </c>
      <c r="C60" s="9" t="s">
        <v>19</v>
      </c>
    </row>
    <row r="61" spans="2:5" x14ac:dyDescent="0.25">
      <c r="B61" s="37" t="s">
        <v>0</v>
      </c>
      <c r="C61" s="54">
        <f>D26/C26-1</f>
        <v>-0.19999999999999996</v>
      </c>
    </row>
    <row r="62" spans="2:5" x14ac:dyDescent="0.25">
      <c r="B62" s="37" t="s">
        <v>1</v>
      </c>
      <c r="C62" s="54">
        <f>D27/C27-1</f>
        <v>-0.25</v>
      </c>
    </row>
    <row r="63" spans="2:5" x14ac:dyDescent="0.25">
      <c r="B63" s="37" t="s">
        <v>2</v>
      </c>
      <c r="C63" s="54">
        <f>D28/C28-1</f>
        <v>0</v>
      </c>
    </row>
    <row r="64" spans="2:5" x14ac:dyDescent="0.25">
      <c r="B64" s="37" t="s">
        <v>5</v>
      </c>
      <c r="C64" s="54">
        <f>D29/C29-1</f>
        <v>0.25</v>
      </c>
    </row>
    <row r="65" spans="2:3" x14ac:dyDescent="0.25">
      <c r="B65" s="67" t="s">
        <v>16</v>
      </c>
      <c r="C65" s="69">
        <f>SUMPRODUCT(E50:E53,C61:C64)</f>
        <v>-3.609922178988325E-2</v>
      </c>
    </row>
  </sheetData>
  <dataValidations count="1">
    <dataValidation type="list" allowBlank="1" showInputMessage="1" showErrorMessage="1" sqref="B43" xr:uid="{DBD53C65-8F4B-4C8C-A520-C816AEF13CF1}">
      <formula1>$B$37:$B$39</formula1>
    </dataValidation>
  </dataValidations>
  <pageMargins left="0.7" right="0.7" top="0.78740157499999996" bottom="0.78740157499999996" header="0.3" footer="0.3"/>
  <pageSetup paperSize="9" orientation="portrait" r:id="rId1"/>
  <headerFooter>
    <oddHeader>&amp;C&amp;"Calibri"&amp;10&amp;K000000Umweltbundesamt GmbH - intern&amp;1#</oddHeader>
    <oddFooter>&amp;C&amp;1#&amp;"Calibri"&amp;10&amp;K000000Umweltbundesamt GmbH - intern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308AF-46B6-4764-844B-21F431AFF520}">
  <sheetPr>
    <tabColor rgb="FF168E4D"/>
  </sheetPr>
  <dimension ref="B1:M51"/>
  <sheetViews>
    <sheetView showGridLines="0" topLeftCell="A13" zoomScale="85" zoomScaleNormal="85" workbookViewId="0">
      <selection activeCell="C50" sqref="C50"/>
    </sheetView>
  </sheetViews>
  <sheetFormatPr baseColWidth="10" defaultRowHeight="15" x14ac:dyDescent="0.25"/>
  <cols>
    <col min="1" max="1" width="18.5703125" customWidth="1"/>
    <col min="2" max="2" width="53.5703125" customWidth="1"/>
    <col min="3" max="3" width="25.42578125" customWidth="1"/>
    <col min="4" max="4" width="37.42578125" customWidth="1"/>
    <col min="5" max="5" width="30.5703125" customWidth="1"/>
    <col min="6" max="6" width="23.7109375" customWidth="1"/>
    <col min="7" max="7" width="23" customWidth="1"/>
    <col min="8" max="8" width="22.5703125" customWidth="1"/>
    <col min="9" max="10" width="22" customWidth="1"/>
  </cols>
  <sheetData>
    <row r="1" spans="2:5" ht="26.25" x14ac:dyDescent="0.4">
      <c r="B1" s="2" t="s">
        <v>115</v>
      </c>
    </row>
    <row r="2" spans="2:5" ht="17.25" customHeight="1" x14ac:dyDescent="0.25">
      <c r="B2" s="173" t="s">
        <v>121</v>
      </c>
      <c r="C2" s="174"/>
      <c r="D2" s="174"/>
      <c r="E2" s="174"/>
    </row>
    <row r="3" spans="2:5" ht="17.25" customHeight="1" x14ac:dyDescent="0.25">
      <c r="B3" s="180" t="s">
        <v>131</v>
      </c>
      <c r="C3" s="174"/>
      <c r="D3" s="174"/>
      <c r="E3" s="174"/>
    </row>
    <row r="4" spans="2:5" x14ac:dyDescent="0.25">
      <c r="B4" s="1"/>
    </row>
    <row r="5" spans="2:5" x14ac:dyDescent="0.25">
      <c r="B5" s="17" t="s">
        <v>6</v>
      </c>
      <c r="C5" s="7"/>
      <c r="D5" s="8"/>
    </row>
    <row r="6" spans="2:5" x14ac:dyDescent="0.25">
      <c r="B6" s="14" t="s">
        <v>7</v>
      </c>
      <c r="C6" s="18" t="s">
        <v>11</v>
      </c>
      <c r="D6" s="77" t="s">
        <v>12</v>
      </c>
    </row>
    <row r="8" spans="2:5" s="57" customFormat="1" ht="23.1" customHeight="1" x14ac:dyDescent="0.25">
      <c r="B8" s="58" t="s">
        <v>130</v>
      </c>
    </row>
    <row r="10" spans="2:5" s="10" customFormat="1" ht="23.1" customHeight="1" x14ac:dyDescent="0.25">
      <c r="B10" s="15" t="s">
        <v>152</v>
      </c>
    </row>
    <row r="12" spans="2:5" s="25" customFormat="1" ht="23.1" customHeight="1" x14ac:dyDescent="0.25">
      <c r="B12" s="24" t="s">
        <v>17</v>
      </c>
    </row>
    <row r="13" spans="2:5" ht="14.25" customHeight="1" x14ac:dyDescent="0.25"/>
    <row r="14" spans="2:5" ht="12" customHeight="1" x14ac:dyDescent="0.25">
      <c r="B14" s="33" t="s">
        <v>38</v>
      </c>
      <c r="C14" s="34"/>
      <c r="D14" s="35"/>
    </row>
    <row r="15" spans="2:5" ht="21" customHeight="1" x14ac:dyDescent="0.25">
      <c r="B15" s="62"/>
      <c r="C15" s="19" t="s">
        <v>128</v>
      </c>
      <c r="D15" s="20" t="s">
        <v>128</v>
      </c>
    </row>
    <row r="16" spans="2:5" x14ac:dyDescent="0.25">
      <c r="B16" s="5"/>
      <c r="C16" s="11" t="s">
        <v>9</v>
      </c>
      <c r="D16" s="12" t="s">
        <v>8</v>
      </c>
    </row>
    <row r="17" spans="2:4" x14ac:dyDescent="0.25">
      <c r="B17" s="37" t="s">
        <v>124</v>
      </c>
      <c r="C17" s="143">
        <v>2000000</v>
      </c>
      <c r="D17" s="144">
        <v>2000000</v>
      </c>
    </row>
    <row r="18" spans="2:4" x14ac:dyDescent="0.25">
      <c r="B18" s="37" t="s">
        <v>125</v>
      </c>
      <c r="C18" s="143">
        <v>3000000</v>
      </c>
      <c r="D18" s="144">
        <v>3000000</v>
      </c>
    </row>
    <row r="19" spans="2:4" x14ac:dyDescent="0.25">
      <c r="B19" s="37" t="s">
        <v>126</v>
      </c>
      <c r="C19" s="143">
        <v>0</v>
      </c>
      <c r="D19" s="144">
        <v>1000000</v>
      </c>
    </row>
    <row r="20" spans="2:4" x14ac:dyDescent="0.25">
      <c r="B20" s="38" t="s">
        <v>4</v>
      </c>
      <c r="C20" s="145">
        <f>SUM(C17:C19)</f>
        <v>5000000</v>
      </c>
      <c r="D20" s="146">
        <f>SUM(D17:D19)</f>
        <v>6000000</v>
      </c>
    </row>
    <row r="22" spans="2:4" ht="21" customHeight="1" x14ac:dyDescent="0.25">
      <c r="B22" s="33" t="s">
        <v>132</v>
      </c>
      <c r="C22" s="184"/>
      <c r="D22" s="185"/>
    </row>
    <row r="23" spans="2:4" x14ac:dyDescent="0.25">
      <c r="B23" s="16" t="s">
        <v>127</v>
      </c>
      <c r="C23" s="19" t="s">
        <v>9</v>
      </c>
      <c r="D23" s="20" t="s">
        <v>8</v>
      </c>
    </row>
    <row r="24" spans="2:4" x14ac:dyDescent="0.25">
      <c r="B24" s="37" t="s">
        <v>124</v>
      </c>
      <c r="C24" s="182">
        <v>0.8</v>
      </c>
      <c r="D24" s="183">
        <v>0.8</v>
      </c>
    </row>
    <row r="25" spans="2:4" x14ac:dyDescent="0.25">
      <c r="B25" s="37" t="s">
        <v>125</v>
      </c>
      <c r="C25" s="182">
        <v>0.2</v>
      </c>
      <c r="D25" s="183">
        <v>0.2</v>
      </c>
    </row>
    <row r="26" spans="2:4" x14ac:dyDescent="0.25">
      <c r="B26" s="51" t="s">
        <v>126</v>
      </c>
      <c r="C26" s="110"/>
      <c r="D26" s="91">
        <v>0.3</v>
      </c>
    </row>
    <row r="29" spans="2:4" s="25" customFormat="1" ht="23.1" customHeight="1" x14ac:dyDescent="0.25">
      <c r="B29" s="24" t="s">
        <v>52</v>
      </c>
    </row>
    <row r="30" spans="2:4" ht="14.1" customHeight="1" x14ac:dyDescent="0.25"/>
    <row r="31" spans="2:4" ht="14.1" customHeight="1" x14ac:dyDescent="0.25">
      <c r="B31" s="78" t="s">
        <v>45</v>
      </c>
      <c r="C31" s="47"/>
      <c r="D31" s="48"/>
    </row>
    <row r="32" spans="2:4" ht="14.1" customHeight="1" x14ac:dyDescent="0.25">
      <c r="B32" s="68"/>
      <c r="C32" s="116" t="s">
        <v>21</v>
      </c>
      <c r="D32" s="117" t="s">
        <v>22</v>
      </c>
    </row>
    <row r="33" spans="2:13" ht="14.1" customHeight="1" x14ac:dyDescent="0.25">
      <c r="B33" s="63" t="s">
        <v>42</v>
      </c>
      <c r="C33" s="59">
        <v>0</v>
      </c>
      <c r="D33" s="60">
        <v>1</v>
      </c>
    </row>
    <row r="34" spans="2:13" ht="14.1" customHeight="1" x14ac:dyDescent="0.25"/>
    <row r="36" spans="2:13" s="25" customFormat="1" ht="23.1" customHeight="1" x14ac:dyDescent="0.25">
      <c r="B36" s="24" t="s">
        <v>51</v>
      </c>
    </row>
    <row r="38" spans="2:13" s="36" customFormat="1" ht="21.75" customHeight="1" x14ac:dyDescent="0.25">
      <c r="B38" s="33" t="s">
        <v>154</v>
      </c>
      <c r="C38" s="34"/>
      <c r="D38" s="35"/>
      <c r="E38"/>
      <c r="L38"/>
      <c r="M38"/>
    </row>
    <row r="39" spans="2:13" ht="36" customHeight="1" x14ac:dyDescent="0.25">
      <c r="B39" s="6"/>
      <c r="C39" s="104" t="s">
        <v>155</v>
      </c>
      <c r="D39" s="98" t="s">
        <v>156</v>
      </c>
    </row>
    <row r="40" spans="2:13" x14ac:dyDescent="0.25">
      <c r="B40" s="37" t="s">
        <v>124</v>
      </c>
      <c r="C40" s="99">
        <f>C17/$C$20</f>
        <v>0.4</v>
      </c>
      <c r="D40" s="121">
        <f>D17/$D$20</f>
        <v>0.33333333333333331</v>
      </c>
    </row>
    <row r="41" spans="2:13" x14ac:dyDescent="0.25">
      <c r="B41" s="37" t="s">
        <v>125</v>
      </c>
      <c r="C41" s="99">
        <f t="shared" ref="C41:C42" si="0">C18/$C$20</f>
        <v>0.6</v>
      </c>
      <c r="D41" s="121">
        <f t="shared" ref="D41:D42" si="1">D18/$D$20</f>
        <v>0.5</v>
      </c>
    </row>
    <row r="42" spans="2:13" x14ac:dyDescent="0.25">
      <c r="B42" s="37" t="s">
        <v>126</v>
      </c>
      <c r="C42" s="99">
        <f t="shared" si="0"/>
        <v>0</v>
      </c>
      <c r="D42" s="121">
        <f t="shared" si="1"/>
        <v>0.16666666666666666</v>
      </c>
    </row>
    <row r="43" spans="2:13" x14ac:dyDescent="0.25">
      <c r="B43" s="38" t="s">
        <v>4</v>
      </c>
      <c r="C43" s="102">
        <f>SUM(C40:C42)</f>
        <v>1</v>
      </c>
      <c r="D43" s="186">
        <f>SUM(D40:D42)</f>
        <v>0.99999999999999989</v>
      </c>
    </row>
    <row r="44" spans="2:13" ht="14.1" customHeight="1" x14ac:dyDescent="0.25"/>
    <row r="46" spans="2:13" s="25" customFormat="1" ht="23.1" customHeight="1" x14ac:dyDescent="0.25">
      <c r="B46" s="24" t="s">
        <v>129</v>
      </c>
    </row>
    <row r="48" spans="2:13" x14ac:dyDescent="0.25">
      <c r="B48" s="33" t="s">
        <v>133</v>
      </c>
      <c r="C48" s="7"/>
      <c r="D48" s="8"/>
    </row>
    <row r="49" spans="2:4" x14ac:dyDescent="0.25">
      <c r="B49" s="16"/>
      <c r="C49" s="181" t="s">
        <v>9</v>
      </c>
      <c r="D49" s="50" t="s">
        <v>8</v>
      </c>
    </row>
    <row r="50" spans="2:4" x14ac:dyDescent="0.25">
      <c r="B50" s="37" t="s">
        <v>90</v>
      </c>
      <c r="C50" s="27">
        <f>SUMPRODUCT(C24:C26,C40:C42)</f>
        <v>0.44000000000000006</v>
      </c>
      <c r="D50" s="56">
        <f>SUMPRODUCT(D24:D26,D40:D42)</f>
        <v>0.41666666666666669</v>
      </c>
    </row>
    <row r="51" spans="2:4" x14ac:dyDescent="0.25">
      <c r="B51" s="67" t="s">
        <v>153</v>
      </c>
      <c r="C51" s="66"/>
      <c r="D51" s="69">
        <f>D50/C50-1</f>
        <v>-5.3030303030303094E-2</v>
      </c>
    </row>
  </sheetData>
  <dataValidations count="1">
    <dataValidation type="list" allowBlank="1" showDropDown="1" showInputMessage="1" showErrorMessage="1" sqref="B33" xr:uid="{68D9DC2E-0678-4026-AC22-AEA6E83146CA}">
      <formula1>#REF!</formula1>
    </dataValidation>
  </dataValidations>
  <pageMargins left="0.7" right="0.7" top="0.78740157499999996" bottom="0.78740157499999996" header="0.3" footer="0.3"/>
  <pageSetup paperSize="9" orientation="portrait" r:id="rId1"/>
  <headerFooter>
    <oddHeader>&amp;C&amp;"Calibri"&amp;10&amp;K000000Umweltbundesamt GmbH - intern&amp;1#</oddHeader>
    <oddFooter>&amp;C&amp;1#&amp;"Calibri"&amp;10&amp;K000000Umweltbundesamt GmbH - intern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68E4D"/>
  </sheetPr>
  <dimension ref="A1:M114"/>
  <sheetViews>
    <sheetView showGridLines="0" zoomScale="80" zoomScaleNormal="80" workbookViewId="0">
      <selection activeCell="F23" sqref="F23"/>
    </sheetView>
  </sheetViews>
  <sheetFormatPr baseColWidth="10" defaultRowHeight="15" outlineLevelRow="1" x14ac:dyDescent="0.25"/>
  <cols>
    <col min="1" max="1" width="18.5703125" customWidth="1"/>
    <col min="2" max="2" width="44.5703125" customWidth="1"/>
    <col min="3" max="3" width="26.7109375" customWidth="1"/>
    <col min="4" max="4" width="25.28515625" customWidth="1"/>
    <col min="5" max="5" width="29" customWidth="1"/>
    <col min="6" max="6" width="26.7109375" customWidth="1"/>
    <col min="7" max="7" width="28.42578125" customWidth="1"/>
    <col min="8" max="8" width="23.5703125" customWidth="1"/>
    <col min="9" max="9" width="27.7109375" customWidth="1"/>
    <col min="10" max="10" width="23.42578125" customWidth="1"/>
  </cols>
  <sheetData>
    <row r="1" spans="2:5" ht="26.25" x14ac:dyDescent="0.4">
      <c r="B1" s="2" t="s">
        <v>116</v>
      </c>
    </row>
    <row r="2" spans="2:5" ht="17.25" customHeight="1" x14ac:dyDescent="0.25">
      <c r="B2" s="173" t="s">
        <v>121</v>
      </c>
      <c r="C2" s="174"/>
      <c r="D2" s="174"/>
      <c r="E2" s="174"/>
    </row>
    <row r="3" spans="2:5" ht="17.25" customHeight="1" x14ac:dyDescent="0.25">
      <c r="B3" s="180" t="s">
        <v>122</v>
      </c>
      <c r="C3" s="174"/>
      <c r="D3" s="174"/>
      <c r="E3" s="174"/>
    </row>
    <row r="4" spans="2:5" ht="17.25" customHeight="1" x14ac:dyDescent="0.25">
      <c r="B4" s="180" t="s">
        <v>120</v>
      </c>
      <c r="C4" s="174"/>
      <c r="D4" s="174"/>
      <c r="E4" s="174"/>
    </row>
    <row r="5" spans="2:5" x14ac:dyDescent="0.25">
      <c r="B5" s="1"/>
    </row>
    <row r="6" spans="2:5" x14ac:dyDescent="0.25">
      <c r="B6" s="17" t="s">
        <v>6</v>
      </c>
      <c r="C6" s="7"/>
      <c r="D6" s="8"/>
    </row>
    <row r="7" spans="2:5" x14ac:dyDescent="0.25">
      <c r="B7" s="14" t="s">
        <v>7</v>
      </c>
      <c r="C7" s="18" t="s">
        <v>11</v>
      </c>
      <c r="D7" s="77" t="s">
        <v>12</v>
      </c>
    </row>
    <row r="9" spans="2:5" s="57" customFormat="1" ht="23.1" customHeight="1" x14ac:dyDescent="0.25">
      <c r="B9" s="58" t="s">
        <v>157</v>
      </c>
    </row>
    <row r="10" spans="2:5" x14ac:dyDescent="0.25">
      <c r="B10" s="175"/>
      <c r="C10" s="175"/>
      <c r="D10" s="175"/>
    </row>
    <row r="11" spans="2:5" s="10" customFormat="1" ht="23.1" customHeight="1" x14ac:dyDescent="0.25">
      <c r="B11" s="15" t="s">
        <v>17</v>
      </c>
    </row>
    <row r="13" spans="2:5" ht="21" customHeight="1" x14ac:dyDescent="0.25">
      <c r="B13" s="33" t="s">
        <v>38</v>
      </c>
      <c r="C13" s="34"/>
      <c r="D13" s="34"/>
      <c r="E13" s="35"/>
    </row>
    <row r="14" spans="2:5" ht="21" customHeight="1" x14ac:dyDescent="0.25">
      <c r="B14" s="46"/>
      <c r="C14" s="55"/>
      <c r="D14" s="19" t="s">
        <v>88</v>
      </c>
      <c r="E14" s="20" t="s">
        <v>88</v>
      </c>
    </row>
    <row r="15" spans="2:5" x14ac:dyDescent="0.25">
      <c r="B15" s="5"/>
      <c r="C15" s="44" t="s">
        <v>18</v>
      </c>
      <c r="D15" s="11" t="s">
        <v>9</v>
      </c>
      <c r="E15" s="12" t="s">
        <v>8</v>
      </c>
    </row>
    <row r="16" spans="2:5" x14ac:dyDescent="0.25">
      <c r="B16" s="37" t="s">
        <v>0</v>
      </c>
      <c r="C16" s="43" t="s">
        <v>50</v>
      </c>
      <c r="D16" s="143">
        <v>3000000</v>
      </c>
      <c r="E16" s="144">
        <v>3000000</v>
      </c>
    </row>
    <row r="17" spans="2:10" x14ac:dyDescent="0.25">
      <c r="B17" s="37" t="s">
        <v>1</v>
      </c>
      <c r="C17" s="43" t="s">
        <v>50</v>
      </c>
      <c r="D17" s="143">
        <v>3000000</v>
      </c>
      <c r="E17" s="144">
        <v>3000000</v>
      </c>
    </row>
    <row r="18" spans="2:10" x14ac:dyDescent="0.25">
      <c r="B18" s="37" t="s">
        <v>2</v>
      </c>
      <c r="C18" s="43" t="s">
        <v>40</v>
      </c>
      <c r="D18" s="143">
        <v>2000000</v>
      </c>
      <c r="E18" s="144">
        <v>2000000</v>
      </c>
    </row>
    <row r="19" spans="2:10" x14ac:dyDescent="0.25">
      <c r="B19" s="37" t="s">
        <v>5</v>
      </c>
      <c r="C19" s="43" t="s">
        <v>40</v>
      </c>
      <c r="D19" s="143">
        <v>2000000</v>
      </c>
      <c r="E19" s="144">
        <v>2000000</v>
      </c>
    </row>
    <row r="20" spans="2:10" x14ac:dyDescent="0.25">
      <c r="B20" s="38" t="s">
        <v>4</v>
      </c>
      <c r="C20" s="45"/>
      <c r="D20" s="145">
        <f>SUM(D16:D19)</f>
        <v>10000000</v>
      </c>
      <c r="E20" s="146">
        <f>SUM(E16:E19)</f>
        <v>10000000</v>
      </c>
    </row>
    <row r="22" spans="2:10" ht="21" customHeight="1" x14ac:dyDescent="0.25">
      <c r="B22" s="33" t="s">
        <v>39</v>
      </c>
      <c r="C22" s="34"/>
      <c r="D22" s="35"/>
    </row>
    <row r="23" spans="2:10" ht="18" x14ac:dyDescent="0.25">
      <c r="B23" s="46"/>
      <c r="C23" s="169" t="s">
        <v>93</v>
      </c>
      <c r="D23" s="170"/>
    </row>
    <row r="24" spans="2:10" x14ac:dyDescent="0.25">
      <c r="B24" s="6"/>
      <c r="C24" s="11" t="s">
        <v>9</v>
      </c>
      <c r="D24" s="12" t="s">
        <v>8</v>
      </c>
    </row>
    <row r="25" spans="2:10" x14ac:dyDescent="0.25">
      <c r="B25" s="37" t="s">
        <v>0</v>
      </c>
      <c r="C25" s="88">
        <v>50000</v>
      </c>
      <c r="D25" s="89">
        <v>40000</v>
      </c>
    </row>
    <row r="26" spans="2:10" x14ac:dyDescent="0.25">
      <c r="B26" s="37" t="s">
        <v>1</v>
      </c>
      <c r="C26" s="88">
        <v>80000</v>
      </c>
      <c r="D26" s="89">
        <v>60000</v>
      </c>
    </row>
    <row r="27" spans="2:10" x14ac:dyDescent="0.25">
      <c r="B27" s="37" t="s">
        <v>2</v>
      </c>
      <c r="C27" s="88">
        <v>12000000</v>
      </c>
      <c r="D27" s="89">
        <v>12000000</v>
      </c>
    </row>
    <row r="28" spans="2:10" x14ac:dyDescent="0.25">
      <c r="B28" s="37" t="s">
        <v>5</v>
      </c>
      <c r="C28" s="88">
        <v>600000</v>
      </c>
      <c r="D28" s="89">
        <v>750000</v>
      </c>
    </row>
    <row r="29" spans="2:10" x14ac:dyDescent="0.25">
      <c r="B29" s="38" t="s">
        <v>4</v>
      </c>
      <c r="C29" s="92">
        <f>SUM(C25:C28)</f>
        <v>12730000</v>
      </c>
      <c r="D29" s="93">
        <f>SUM(D25:D28)</f>
        <v>12850000</v>
      </c>
    </row>
    <row r="30" spans="2:10" x14ac:dyDescent="0.25">
      <c r="J30" s="52"/>
    </row>
    <row r="31" spans="2:10" x14ac:dyDescent="0.25">
      <c r="B31" s="33" t="s">
        <v>79</v>
      </c>
      <c r="C31" s="7"/>
      <c r="D31" s="7"/>
      <c r="E31" s="7"/>
      <c r="F31" s="7"/>
      <c r="G31" s="7"/>
      <c r="H31" s="7"/>
      <c r="I31" s="7"/>
      <c r="J31" s="8"/>
    </row>
    <row r="32" spans="2:10" x14ac:dyDescent="0.25">
      <c r="B32" s="13"/>
      <c r="C32" s="19" t="s">
        <v>0</v>
      </c>
      <c r="D32" s="50"/>
      <c r="E32" s="19" t="s">
        <v>1</v>
      </c>
      <c r="F32" s="20"/>
      <c r="G32" s="19" t="s">
        <v>2</v>
      </c>
      <c r="H32" s="20"/>
      <c r="I32" s="19" t="s">
        <v>5</v>
      </c>
      <c r="J32" s="20"/>
    </row>
    <row r="33" spans="2:10" x14ac:dyDescent="0.25">
      <c r="B33" s="6"/>
      <c r="C33" s="11" t="s">
        <v>9</v>
      </c>
      <c r="D33" s="12" t="s">
        <v>8</v>
      </c>
      <c r="E33" s="11" t="s">
        <v>9</v>
      </c>
      <c r="F33" s="12" t="s">
        <v>8</v>
      </c>
      <c r="G33" s="11" t="s">
        <v>9</v>
      </c>
      <c r="H33" s="12" t="s">
        <v>8</v>
      </c>
      <c r="I33" s="11" t="s">
        <v>9</v>
      </c>
      <c r="J33" s="12" t="s">
        <v>8</v>
      </c>
    </row>
    <row r="34" spans="2:10" x14ac:dyDescent="0.25">
      <c r="B34" s="6" t="s">
        <v>92</v>
      </c>
      <c r="C34" s="88">
        <v>50000000</v>
      </c>
      <c r="D34" s="194">
        <v>50000000</v>
      </c>
      <c r="E34" s="88">
        <v>10000000</v>
      </c>
      <c r="F34" s="194">
        <v>10000000</v>
      </c>
      <c r="G34" s="88">
        <v>110000000</v>
      </c>
      <c r="H34" s="196">
        <v>150000000</v>
      </c>
      <c r="I34" s="88">
        <v>35000000</v>
      </c>
      <c r="J34" s="89">
        <v>35000000</v>
      </c>
    </row>
    <row r="35" spans="2:10" ht="18" x14ac:dyDescent="0.35">
      <c r="B35" s="6" t="s">
        <v>95</v>
      </c>
      <c r="C35" s="108">
        <f>C25</f>
        <v>50000</v>
      </c>
      <c r="D35" s="109">
        <f>D25</f>
        <v>40000</v>
      </c>
      <c r="E35" s="108">
        <f>C26</f>
        <v>80000</v>
      </c>
      <c r="F35" s="109">
        <f>D26</f>
        <v>60000</v>
      </c>
      <c r="G35" s="108">
        <f>C27</f>
        <v>12000000</v>
      </c>
      <c r="H35" s="109">
        <f>D27</f>
        <v>12000000</v>
      </c>
      <c r="I35" s="108">
        <f>C28</f>
        <v>600000</v>
      </c>
      <c r="J35" s="109">
        <f>D28</f>
        <v>750000</v>
      </c>
    </row>
    <row r="36" spans="2:10" x14ac:dyDescent="0.25">
      <c r="B36" s="80" t="s">
        <v>26</v>
      </c>
      <c r="C36" s="105"/>
      <c r="D36" s="106"/>
      <c r="E36" s="105"/>
      <c r="F36" s="106"/>
      <c r="G36" s="88">
        <v>15000000</v>
      </c>
      <c r="H36" s="89">
        <v>15000000</v>
      </c>
      <c r="I36" s="88">
        <v>3000000</v>
      </c>
      <c r="J36" s="89">
        <v>3000000</v>
      </c>
    </row>
    <row r="37" spans="2:10" ht="18" x14ac:dyDescent="0.25">
      <c r="B37" s="26" t="s">
        <v>94</v>
      </c>
      <c r="C37" s="110"/>
      <c r="D37" s="195"/>
      <c r="E37" s="110"/>
      <c r="F37" s="195"/>
      <c r="G37" s="90">
        <f>C27/G36</f>
        <v>0.8</v>
      </c>
      <c r="H37" s="91">
        <f>D27/H36</f>
        <v>0.8</v>
      </c>
      <c r="I37" s="90">
        <f>C28/I36</f>
        <v>0.2</v>
      </c>
      <c r="J37" s="111">
        <f>D28/J36</f>
        <v>0.25</v>
      </c>
    </row>
    <row r="40" spans="2:10" s="10" customFormat="1" ht="23.1" hidden="1" customHeight="1" outlineLevel="1" x14ac:dyDescent="0.25">
      <c r="B40" s="15" t="s">
        <v>80</v>
      </c>
    </row>
    <row r="41" spans="2:10" ht="14.1" hidden="1" customHeight="1" outlineLevel="1" x14ac:dyDescent="0.25"/>
    <row r="42" spans="2:10" ht="18" hidden="1" customHeight="1" outlineLevel="1" x14ac:dyDescent="0.25">
      <c r="B42" s="33" t="s">
        <v>44</v>
      </c>
      <c r="C42" s="47"/>
      <c r="D42" s="48"/>
    </row>
    <row r="43" spans="2:10" ht="17.25" hidden="1" customHeight="1" outlineLevel="1" x14ac:dyDescent="0.35">
      <c r="B43" s="5"/>
      <c r="C43" s="11" t="s">
        <v>21</v>
      </c>
      <c r="D43" s="12" t="s">
        <v>22</v>
      </c>
      <c r="J43" s="32"/>
    </row>
    <row r="44" spans="2:10" ht="14.1" hidden="1" customHeight="1" outlineLevel="1" x14ac:dyDescent="0.25">
      <c r="B44" s="70" t="s">
        <v>42</v>
      </c>
      <c r="C44" s="94">
        <v>0</v>
      </c>
      <c r="D44" s="95">
        <f>1-C44</f>
        <v>1</v>
      </c>
      <c r="J44" s="32"/>
    </row>
    <row r="45" spans="2:10" ht="14.1" hidden="1" customHeight="1" outlineLevel="1" x14ac:dyDescent="0.25">
      <c r="B45" s="70" t="s">
        <v>41</v>
      </c>
      <c r="C45" s="94">
        <v>0.5</v>
      </c>
      <c r="D45" s="95">
        <f>1-C45</f>
        <v>0.5</v>
      </c>
      <c r="J45" s="32"/>
    </row>
    <row r="46" spans="2:10" ht="14.1" hidden="1" customHeight="1" outlineLevel="1" x14ac:dyDescent="0.25">
      <c r="B46" s="72" t="s">
        <v>43</v>
      </c>
      <c r="C46" s="96">
        <v>1</v>
      </c>
      <c r="D46" s="97">
        <f>1-C46</f>
        <v>0</v>
      </c>
      <c r="I46" s="32"/>
      <c r="J46" s="32"/>
    </row>
    <row r="47" spans="2:10" ht="14.1" hidden="1" customHeight="1" outlineLevel="1" x14ac:dyDescent="0.25"/>
    <row r="48" spans="2:10" ht="14.1" hidden="1" customHeight="1" outlineLevel="1" x14ac:dyDescent="0.25">
      <c r="B48" s="78" t="s">
        <v>45</v>
      </c>
      <c r="C48" s="47"/>
      <c r="D48" s="48"/>
    </row>
    <row r="49" spans="2:13" ht="14.1" hidden="1" customHeight="1" outlineLevel="1" x14ac:dyDescent="0.25">
      <c r="B49" s="68"/>
      <c r="C49" s="74" t="s">
        <v>21</v>
      </c>
      <c r="D49" s="75" t="s">
        <v>22</v>
      </c>
    </row>
    <row r="50" spans="2:13" ht="14.1" hidden="1" customHeight="1" outlineLevel="1" x14ac:dyDescent="0.25">
      <c r="B50" s="63" t="s">
        <v>13</v>
      </c>
      <c r="C50" s="59">
        <f>VLOOKUP(B50,$B$44:$D$46,2,FALSE)</f>
        <v>0.5</v>
      </c>
      <c r="D50" s="60">
        <f>VLOOKUP(B50,$B$44:$D$46,3,FALSE)</f>
        <v>0.5</v>
      </c>
    </row>
    <row r="51" spans="2:13" ht="14.1" hidden="1" customHeight="1" outlineLevel="1" x14ac:dyDescent="0.25"/>
    <row r="52" spans="2:13" ht="14.65" hidden="1" customHeight="1" outlineLevel="1" x14ac:dyDescent="0.25"/>
    <row r="53" spans="2:13" s="10" customFormat="1" ht="23.1" hidden="1" customHeight="1" outlineLevel="1" x14ac:dyDescent="0.25">
      <c r="B53" s="15" t="s">
        <v>81</v>
      </c>
    </row>
    <row r="54" spans="2:13" ht="14.65" hidden="1" customHeight="1" outlineLevel="1" x14ac:dyDescent="0.25"/>
    <row r="55" spans="2:13" s="36" customFormat="1" ht="21.75" hidden="1" customHeight="1" outlineLevel="1" x14ac:dyDescent="0.25">
      <c r="B55" s="33" t="s">
        <v>46</v>
      </c>
      <c r="C55" s="34"/>
      <c r="D55" s="34"/>
      <c r="E55" s="35"/>
      <c r="L55"/>
      <c r="M55"/>
    </row>
    <row r="56" spans="2:13" ht="36" hidden="1" customHeight="1" outlineLevel="1" x14ac:dyDescent="0.25">
      <c r="B56" s="6"/>
      <c r="C56" s="11" t="s">
        <v>14</v>
      </c>
      <c r="D56" s="11" t="s">
        <v>30</v>
      </c>
      <c r="E56" s="98" t="s">
        <v>10</v>
      </c>
    </row>
    <row r="57" spans="2:13" ht="14.65" hidden="1" customHeight="1" outlineLevel="1" x14ac:dyDescent="0.25">
      <c r="B57" s="37" t="s">
        <v>0</v>
      </c>
      <c r="C57" s="99">
        <f>E16/E$20</f>
        <v>0.3</v>
      </c>
      <c r="D57" s="100">
        <f>D25/D$29</f>
        <v>3.1128404669260703E-3</v>
      </c>
      <c r="E57" s="101">
        <f>(C57*$D$50)+(D57*$C$50)</f>
        <v>0.15155642023346302</v>
      </c>
    </row>
    <row r="58" spans="2:13" ht="14.65" hidden="1" customHeight="1" outlineLevel="1" x14ac:dyDescent="0.25">
      <c r="B58" s="37" t="s">
        <v>1</v>
      </c>
      <c r="C58" s="99">
        <f>E17/E$20</f>
        <v>0.3</v>
      </c>
      <c r="D58" s="100">
        <f>D26/D$29</f>
        <v>4.6692607003891049E-3</v>
      </c>
      <c r="E58" s="101">
        <f t="shared" ref="E58:E60" si="0">(C58*$D$50)+(D58*$C$50)</f>
        <v>0.15233463035019454</v>
      </c>
    </row>
    <row r="59" spans="2:13" ht="14.65" hidden="1" customHeight="1" outlineLevel="1" x14ac:dyDescent="0.25">
      <c r="B59" s="37" t="s">
        <v>2</v>
      </c>
      <c r="C59" s="99">
        <f>E18/E$20</f>
        <v>0.2</v>
      </c>
      <c r="D59" s="100">
        <f>D27/D$29</f>
        <v>0.93385214007782102</v>
      </c>
      <c r="E59" s="101">
        <f t="shared" si="0"/>
        <v>0.56692607003891049</v>
      </c>
    </row>
    <row r="60" spans="2:13" ht="14.65" hidden="1" customHeight="1" outlineLevel="1" x14ac:dyDescent="0.25">
      <c r="B60" s="37" t="s">
        <v>5</v>
      </c>
      <c r="C60" s="99">
        <f>E19/E$20</f>
        <v>0.2</v>
      </c>
      <c r="D60" s="100">
        <f>D28/D$29</f>
        <v>5.8365758754863814E-2</v>
      </c>
      <c r="E60" s="101">
        <f t="shared" si="0"/>
        <v>0.12918287937743192</v>
      </c>
    </row>
    <row r="61" spans="2:13" ht="14.65" hidden="1" customHeight="1" outlineLevel="1" x14ac:dyDescent="0.25">
      <c r="B61" s="38" t="s">
        <v>4</v>
      </c>
      <c r="C61" s="102">
        <f>SUM(C57:C60)</f>
        <v>1</v>
      </c>
      <c r="D61" s="102">
        <f>SUM(D57:D60)</f>
        <v>1</v>
      </c>
      <c r="E61" s="103">
        <f>SUM(E57:E60)</f>
        <v>1</v>
      </c>
    </row>
    <row r="62" spans="2:13" ht="14.1" hidden="1" customHeight="1" outlineLevel="1" x14ac:dyDescent="0.25"/>
    <row r="63" spans="2:13" ht="21.75" hidden="1" customHeight="1" outlineLevel="1" x14ac:dyDescent="0.25">
      <c r="B63" s="33" t="s">
        <v>47</v>
      </c>
      <c r="C63" s="53"/>
      <c r="D63" s="53"/>
      <c r="E63" s="34"/>
      <c r="F63" s="34"/>
      <c r="G63" s="34"/>
      <c r="H63" s="35"/>
    </row>
    <row r="64" spans="2:13" ht="21.75" hidden="1" customHeight="1" outlineLevel="1" x14ac:dyDescent="0.25">
      <c r="B64" s="46"/>
      <c r="C64" s="197" t="s">
        <v>9</v>
      </c>
      <c r="D64" s="197"/>
      <c r="E64" s="198"/>
      <c r="F64" s="199" t="s">
        <v>8</v>
      </c>
      <c r="G64" s="197"/>
      <c r="H64" s="198"/>
    </row>
    <row r="65" spans="2:8" ht="29.25" hidden="1" customHeight="1" outlineLevel="1" x14ac:dyDescent="0.25">
      <c r="B65" s="6"/>
      <c r="C65" s="104" t="s">
        <v>48</v>
      </c>
      <c r="D65" s="104" t="s">
        <v>49</v>
      </c>
      <c r="E65" s="98" t="s">
        <v>10</v>
      </c>
      <c r="F65" s="104" t="s">
        <v>48</v>
      </c>
      <c r="G65" s="104" t="s">
        <v>49</v>
      </c>
      <c r="H65" s="98" t="s">
        <v>10</v>
      </c>
    </row>
    <row r="66" spans="2:8" ht="14.1" hidden="1" customHeight="1" outlineLevel="1" x14ac:dyDescent="0.25">
      <c r="B66" s="37" t="s">
        <v>0</v>
      </c>
      <c r="C66" s="105"/>
      <c r="D66" s="105"/>
      <c r="E66" s="106"/>
      <c r="F66" s="105"/>
      <c r="G66" s="105"/>
      <c r="H66" s="106"/>
    </row>
    <row r="67" spans="2:8" ht="14.1" hidden="1" customHeight="1" outlineLevel="1" x14ac:dyDescent="0.25">
      <c r="B67" s="37" t="s">
        <v>1</v>
      </c>
      <c r="C67" s="105"/>
      <c r="D67" s="105"/>
      <c r="E67" s="106"/>
      <c r="F67" s="105"/>
      <c r="G67" s="105"/>
      <c r="H67" s="106"/>
    </row>
    <row r="68" spans="2:8" ht="14.1" hidden="1" customHeight="1" outlineLevel="1" x14ac:dyDescent="0.25">
      <c r="B68" s="37" t="s">
        <v>2</v>
      </c>
      <c r="C68" s="100">
        <f>D18/SUM(D18:D19)</f>
        <v>0.5</v>
      </c>
      <c r="D68" s="100">
        <f>C27/SUM($C$27:$C$28)</f>
        <v>0.95238095238095233</v>
      </c>
      <c r="E68" s="107">
        <f>(D68*$C$50)+(C68*$D$50)</f>
        <v>0.72619047619047616</v>
      </c>
      <c r="F68" s="100">
        <f>E18/SUM(E18:E19)</f>
        <v>0.5</v>
      </c>
      <c r="G68" s="100">
        <f>D27/SUM($D$27:$D$28)</f>
        <v>0.94117647058823528</v>
      </c>
      <c r="H68" s="101">
        <f>(G68*$C$50)+(F68*$D$50)</f>
        <v>0.72058823529411764</v>
      </c>
    </row>
    <row r="69" spans="2:8" ht="14.1" hidden="1" customHeight="1" outlineLevel="1" x14ac:dyDescent="0.25">
      <c r="B69" s="37" t="s">
        <v>5</v>
      </c>
      <c r="C69" s="100">
        <f>D19/SUM(D18:D19)</f>
        <v>0.5</v>
      </c>
      <c r="D69" s="100">
        <f>C28/SUM($C$27:$C$28)</f>
        <v>4.7619047619047616E-2</v>
      </c>
      <c r="E69" s="107">
        <f>(D69*$C$50)+(C69*$D$50)</f>
        <v>0.27380952380952384</v>
      </c>
      <c r="F69" s="100">
        <f>E19/SUM(E18:E19)</f>
        <v>0.5</v>
      </c>
      <c r="G69" s="100">
        <f>D28/SUM($D$27:$D$28)</f>
        <v>5.8823529411764705E-2</v>
      </c>
      <c r="H69" s="101">
        <f>(G69*$C$50)+(F69*$D$50)</f>
        <v>0.27941176470588236</v>
      </c>
    </row>
    <row r="70" spans="2:8" ht="14.1" hidden="1" customHeight="1" outlineLevel="1" x14ac:dyDescent="0.25">
      <c r="B70" s="38" t="s">
        <v>4</v>
      </c>
      <c r="C70" s="102">
        <f t="shared" ref="C70:H70" si="1">SUM(C68:C69)</f>
        <v>1</v>
      </c>
      <c r="D70" s="102">
        <f t="shared" si="1"/>
        <v>1</v>
      </c>
      <c r="E70" s="103">
        <f t="shared" si="1"/>
        <v>1</v>
      </c>
      <c r="F70" s="102">
        <f t="shared" si="1"/>
        <v>1</v>
      </c>
      <c r="G70" s="102">
        <f t="shared" si="1"/>
        <v>1</v>
      </c>
      <c r="H70" s="103">
        <f t="shared" si="1"/>
        <v>1</v>
      </c>
    </row>
    <row r="71" spans="2:8" ht="14.1" hidden="1" customHeight="1" outlineLevel="1" x14ac:dyDescent="0.25"/>
    <row r="72" spans="2:8" ht="14.1" hidden="1" customHeight="1" outlineLevel="1" x14ac:dyDescent="0.25"/>
    <row r="73" spans="2:8" s="10" customFormat="1" ht="23.1" hidden="1" customHeight="1" outlineLevel="1" x14ac:dyDescent="0.25">
      <c r="B73" s="15" t="s">
        <v>82</v>
      </c>
    </row>
    <row r="74" spans="2:8" ht="14.65" hidden="1" customHeight="1" outlineLevel="1" x14ac:dyDescent="0.25"/>
    <row r="75" spans="2:8" ht="14.65" hidden="1" customHeight="1" outlineLevel="1" x14ac:dyDescent="0.25"/>
    <row r="76" spans="2:8" s="25" customFormat="1" ht="23.1" hidden="1" customHeight="1" outlineLevel="1" x14ac:dyDescent="0.25">
      <c r="B76" s="24" t="s">
        <v>83</v>
      </c>
    </row>
    <row r="77" spans="2:8" ht="14.65" hidden="1" customHeight="1" outlineLevel="1" x14ac:dyDescent="0.25"/>
    <row r="78" spans="2:8" ht="14.65" hidden="1" customHeight="1" outlineLevel="1" x14ac:dyDescent="0.25">
      <c r="B78" s="33" t="s">
        <v>68</v>
      </c>
      <c r="C78" s="8"/>
    </row>
    <row r="79" spans="2:8" ht="14.65" hidden="1" customHeight="1" outlineLevel="1" x14ac:dyDescent="0.25">
      <c r="B79" s="5" t="s">
        <v>89</v>
      </c>
      <c r="C79" s="9" t="s">
        <v>19</v>
      </c>
    </row>
    <row r="80" spans="2:8" ht="14.65" hidden="1" customHeight="1" outlineLevel="1" x14ac:dyDescent="0.25">
      <c r="B80" s="37" t="s">
        <v>0</v>
      </c>
      <c r="C80" s="54">
        <f>D25/C25-1</f>
        <v>-0.19999999999999996</v>
      </c>
    </row>
    <row r="81" spans="1:5" ht="14.65" hidden="1" customHeight="1" outlineLevel="1" x14ac:dyDescent="0.25">
      <c r="B81" s="37" t="s">
        <v>1</v>
      </c>
      <c r="C81" s="54">
        <f>D26/C26-1</f>
        <v>-0.25</v>
      </c>
    </row>
    <row r="82" spans="1:5" ht="14.65" hidden="1" customHeight="1" outlineLevel="1" x14ac:dyDescent="0.25">
      <c r="B82" s="37" t="s">
        <v>2</v>
      </c>
      <c r="C82" s="54">
        <f t="shared" ref="C82:C83" si="2">D27/C27-1</f>
        <v>0</v>
      </c>
    </row>
    <row r="83" spans="1:5" ht="14.65" hidden="1" customHeight="1" outlineLevel="1" x14ac:dyDescent="0.25">
      <c r="B83" s="37" t="s">
        <v>5</v>
      </c>
      <c r="C83" s="54">
        <f t="shared" si="2"/>
        <v>0.25</v>
      </c>
    </row>
    <row r="84" spans="1:5" ht="14.65" hidden="1" customHeight="1" outlineLevel="1" x14ac:dyDescent="0.25">
      <c r="B84" s="67" t="s">
        <v>16</v>
      </c>
      <c r="C84" s="69">
        <f>SUMPRODUCT(E57:E60,C80:C83)</f>
        <v>-3.609922178988325E-2</v>
      </c>
    </row>
    <row r="85" spans="1:5" ht="14.65" hidden="1" customHeight="1" outlineLevel="1" x14ac:dyDescent="0.25"/>
    <row r="86" spans="1:5" ht="14.65" hidden="1" customHeight="1" outlineLevel="1" x14ac:dyDescent="0.25"/>
    <row r="87" spans="1:5" s="25" customFormat="1" ht="23.1" hidden="1" customHeight="1" outlineLevel="1" x14ac:dyDescent="0.25">
      <c r="B87" s="24" t="s">
        <v>84</v>
      </c>
    </row>
    <row r="88" spans="1:5" ht="14.65" hidden="1" customHeight="1" outlineLevel="1" x14ac:dyDescent="0.25"/>
    <row r="89" spans="1:5" ht="14.65" hidden="1" customHeight="1" outlineLevel="1" x14ac:dyDescent="0.25">
      <c r="B89" s="33" t="s">
        <v>142</v>
      </c>
      <c r="C89" s="7"/>
      <c r="D89" s="7"/>
      <c r="E89" s="8"/>
    </row>
    <row r="90" spans="1:5" ht="14.65" hidden="1" customHeight="1" outlineLevel="1" x14ac:dyDescent="0.25">
      <c r="B90" s="6"/>
      <c r="C90" s="44" t="s">
        <v>2</v>
      </c>
      <c r="D90" s="44" t="s">
        <v>5</v>
      </c>
      <c r="E90" s="9" t="s">
        <v>141</v>
      </c>
    </row>
    <row r="91" spans="1:5" ht="14.65" hidden="1" customHeight="1" outlineLevel="1" x14ac:dyDescent="0.25">
      <c r="B91" s="6" t="s">
        <v>158</v>
      </c>
      <c r="C91" s="191">
        <f>H37/G37-1</f>
        <v>0</v>
      </c>
      <c r="D91" s="191">
        <f>J37/I37-1</f>
        <v>0.25</v>
      </c>
      <c r="E91" s="87"/>
    </row>
    <row r="92" spans="1:5" ht="14.65" hidden="1" customHeight="1" outlineLevel="1" x14ac:dyDescent="0.25">
      <c r="B92" s="6" t="s">
        <v>10</v>
      </c>
      <c r="C92" s="191">
        <f>H68</f>
        <v>0.72058823529411764</v>
      </c>
      <c r="D92" s="191">
        <f>H69</f>
        <v>0.27941176470588236</v>
      </c>
      <c r="E92" s="87"/>
    </row>
    <row r="93" spans="1:5" ht="14.65" hidden="1" customHeight="1" outlineLevel="1" x14ac:dyDescent="0.35">
      <c r="B93" s="192" t="s">
        <v>140</v>
      </c>
      <c r="C93" s="86"/>
      <c r="D93" s="86"/>
      <c r="E93" s="69">
        <f>SUMPRODUCT(C92:D92,C91:D91)</f>
        <v>6.985294117647059E-2</v>
      </c>
    </row>
    <row r="94" spans="1:5" ht="14.65" hidden="1" customHeight="1" outlineLevel="1" x14ac:dyDescent="0.25"/>
    <row r="95" spans="1:5" ht="14.65" hidden="1" customHeight="1" outlineLevel="1" x14ac:dyDescent="0.25"/>
    <row r="96" spans="1:5" s="155" customFormat="1" ht="22.9" customHeight="1" collapsed="1" x14ac:dyDescent="0.25">
      <c r="A96" s="156" t="s">
        <v>119</v>
      </c>
    </row>
    <row r="98" spans="2:5" s="10" customFormat="1" ht="22.9" customHeight="1" x14ac:dyDescent="0.25">
      <c r="B98" s="15" t="s">
        <v>27</v>
      </c>
    </row>
    <row r="100" spans="2:5" s="25" customFormat="1" ht="23.1" customHeight="1" x14ac:dyDescent="0.25">
      <c r="B100" s="24" t="s">
        <v>54</v>
      </c>
    </row>
    <row r="102" spans="2:5" x14ac:dyDescent="0.25">
      <c r="B102" s="30" t="s">
        <v>91</v>
      </c>
      <c r="C102" s="3"/>
      <c r="D102" s="3"/>
      <c r="E102" s="4"/>
    </row>
    <row r="103" spans="2:5" x14ac:dyDescent="0.25">
      <c r="B103" s="13"/>
      <c r="C103" s="19" t="s">
        <v>9</v>
      </c>
      <c r="D103" s="19" t="s">
        <v>8</v>
      </c>
      <c r="E103" s="20" t="s">
        <v>3</v>
      </c>
    </row>
    <row r="104" spans="2:5" x14ac:dyDescent="0.25">
      <c r="B104" s="22" t="s">
        <v>31</v>
      </c>
      <c r="C104" s="23"/>
      <c r="D104" s="23"/>
      <c r="E104" s="138">
        <f>C84</f>
        <v>-3.609922178988325E-2</v>
      </c>
    </row>
    <row r="105" spans="2:5" ht="18" x14ac:dyDescent="0.25">
      <c r="B105" s="26" t="s">
        <v>96</v>
      </c>
      <c r="C105" s="140">
        <f>(D16/C34*C35+D17/E34*E35+D18/G34*G35+D19/I34*I35)</f>
        <v>279467.53246753244</v>
      </c>
      <c r="D105" s="140">
        <f>(E16/D34*D35+E17/F34*F35+E18/H34*H35+E19/J34*J35)</f>
        <v>223257.14285714284</v>
      </c>
      <c r="E105" s="139">
        <f>D105/C105-1</f>
        <v>-0.20113388168595192</v>
      </c>
    </row>
    <row r="108" spans="2:5" s="25" customFormat="1" ht="23.1" customHeight="1" x14ac:dyDescent="0.25">
      <c r="B108" s="24" t="s">
        <v>55</v>
      </c>
    </row>
    <row r="110" spans="2:5" ht="18" x14ac:dyDescent="0.35">
      <c r="B110" s="30" t="s">
        <v>56</v>
      </c>
      <c r="C110" s="3"/>
      <c r="D110" s="3"/>
      <c r="E110" s="4"/>
    </row>
    <row r="111" spans="2:5" x14ac:dyDescent="0.25">
      <c r="B111" s="13"/>
      <c r="C111" s="19" t="s">
        <v>9</v>
      </c>
      <c r="D111" s="19" t="s">
        <v>8</v>
      </c>
      <c r="E111" s="20" t="s">
        <v>3</v>
      </c>
    </row>
    <row r="112" spans="2:5" ht="18" x14ac:dyDescent="0.25">
      <c r="B112" s="22" t="s">
        <v>57</v>
      </c>
      <c r="C112" s="23"/>
      <c r="D112" s="23"/>
      <c r="E112" s="138">
        <f>E93</f>
        <v>6.985294117647059E-2</v>
      </c>
    </row>
    <row r="113" spans="2:5" x14ac:dyDescent="0.25">
      <c r="B113" s="80" t="s">
        <v>97</v>
      </c>
      <c r="C113" s="79">
        <f>(D18/G34*G35+D19/I34*I35)</f>
        <v>252467.53246753247</v>
      </c>
      <c r="D113" s="79">
        <f>(E18/H34*H35+E19/J34*J35)</f>
        <v>202857.14285714284</v>
      </c>
      <c r="E113" s="29">
        <f>D113/C113-1</f>
        <v>-0.19650205761316875</v>
      </c>
    </row>
    <row r="114" spans="2:5" x14ac:dyDescent="0.25">
      <c r="B114" s="21" t="s">
        <v>98</v>
      </c>
      <c r="C114" s="141">
        <f>C113/(D18/G34*G36+D19/I34*I36)</f>
        <v>0.56842105263157894</v>
      </c>
      <c r="D114" s="141">
        <f>D113/(E18/H34*H36+E19/J34*J36)</f>
        <v>0.5461538461538461</v>
      </c>
      <c r="E114" s="139">
        <f>D114/C114-1</f>
        <v>-3.917378917378922E-2</v>
      </c>
    </row>
  </sheetData>
  <mergeCells count="2">
    <mergeCell ref="C64:E64"/>
    <mergeCell ref="F64:H64"/>
  </mergeCells>
  <dataValidations count="1">
    <dataValidation type="list" allowBlank="1" showInputMessage="1" showErrorMessage="1" sqref="B50" xr:uid="{00000000-0002-0000-0200-000000000000}">
      <formula1>$B$44:$B$46</formula1>
    </dataValidation>
  </dataValidations>
  <pageMargins left="0.7" right="0.7" top="0.78740157499999996" bottom="0.78740157499999996" header="0.3" footer="0.3"/>
  <pageSetup paperSize="9" orientation="portrait" r:id="rId1"/>
  <headerFooter>
    <oddHeader>&amp;C&amp;"Calibri"&amp;10&amp;K000000Umweltbundesamt GmbH - intern&amp;1#</oddHeader>
    <oddFooter>&amp;C&amp;1#&amp;"Calibri"&amp;10&amp;K000000Umweltbundesamt GmbH - intern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68E4D"/>
  </sheetPr>
  <dimension ref="B1:M121"/>
  <sheetViews>
    <sheetView showGridLines="0" topLeftCell="B53" zoomScale="115" zoomScaleNormal="115" workbookViewId="0">
      <selection activeCell="F127" sqref="F127"/>
    </sheetView>
  </sheetViews>
  <sheetFormatPr baseColWidth="10" defaultRowHeight="15" x14ac:dyDescent="0.25"/>
  <cols>
    <col min="1" max="1" width="18.5703125" customWidth="1"/>
    <col min="2" max="2" width="39.42578125" customWidth="1"/>
    <col min="3" max="3" width="28.140625" customWidth="1"/>
    <col min="4" max="4" width="27.7109375" customWidth="1"/>
    <col min="5" max="5" width="28.28515625" customWidth="1"/>
    <col min="6" max="6" width="23.7109375" customWidth="1"/>
    <col min="7" max="7" width="29.5703125" customWidth="1"/>
    <col min="8" max="8" width="31.5703125" customWidth="1"/>
    <col min="9" max="9" width="15.5703125" customWidth="1"/>
    <col min="10" max="10" width="14.7109375" customWidth="1"/>
  </cols>
  <sheetData>
    <row r="1" spans="2:5" ht="26.25" x14ac:dyDescent="0.4">
      <c r="B1" s="2" t="s">
        <v>117</v>
      </c>
    </row>
    <row r="2" spans="2:5" ht="17.25" customHeight="1" x14ac:dyDescent="0.25">
      <c r="B2" s="174" t="s">
        <v>121</v>
      </c>
      <c r="C2" s="173"/>
      <c r="D2" s="173"/>
      <c r="E2" s="173"/>
    </row>
    <row r="3" spans="2:5" ht="17.25" customHeight="1" x14ac:dyDescent="0.25">
      <c r="B3" s="180" t="s">
        <v>122</v>
      </c>
      <c r="C3" s="173"/>
      <c r="D3" s="173"/>
      <c r="E3" s="173"/>
    </row>
    <row r="4" spans="2:5" x14ac:dyDescent="0.25">
      <c r="B4" s="1"/>
    </row>
    <row r="5" spans="2:5" x14ac:dyDescent="0.25">
      <c r="B5" s="17" t="s">
        <v>6</v>
      </c>
      <c r="C5" s="7"/>
      <c r="D5" s="8"/>
    </row>
    <row r="6" spans="2:5" x14ac:dyDescent="0.25">
      <c r="B6" s="14" t="s">
        <v>7</v>
      </c>
      <c r="C6" s="18" t="s">
        <v>11</v>
      </c>
      <c r="D6" s="77" t="s">
        <v>12</v>
      </c>
    </row>
    <row r="8" spans="2:5" s="57" customFormat="1" ht="23.1" customHeight="1" x14ac:dyDescent="0.25">
      <c r="B8" s="58" t="s">
        <v>159</v>
      </c>
    </row>
    <row r="10" spans="2:5" s="10" customFormat="1" ht="23.1" customHeight="1" x14ac:dyDescent="0.25">
      <c r="B10" s="15" t="s">
        <v>17</v>
      </c>
    </row>
    <row r="12" spans="2:5" ht="21" customHeight="1" x14ac:dyDescent="0.25">
      <c r="B12" s="33" t="s">
        <v>38</v>
      </c>
      <c r="C12" s="34"/>
      <c r="D12" s="34"/>
      <c r="E12" s="35"/>
    </row>
    <row r="13" spans="2:5" ht="21" customHeight="1" x14ac:dyDescent="0.25">
      <c r="B13" s="46"/>
      <c r="C13" s="55"/>
      <c r="D13" s="19" t="s">
        <v>88</v>
      </c>
      <c r="E13" s="20" t="s">
        <v>88</v>
      </c>
    </row>
    <row r="14" spans="2:5" x14ac:dyDescent="0.25">
      <c r="B14" s="6"/>
      <c r="C14" s="44" t="s">
        <v>18</v>
      </c>
      <c r="D14" s="11" t="s">
        <v>9</v>
      </c>
      <c r="E14" s="12" t="s">
        <v>8</v>
      </c>
    </row>
    <row r="15" spans="2:5" x14ac:dyDescent="0.25">
      <c r="B15" s="37" t="s">
        <v>0</v>
      </c>
      <c r="C15" s="43" t="s">
        <v>50</v>
      </c>
      <c r="D15" s="147">
        <v>3000000</v>
      </c>
      <c r="E15" s="148">
        <v>3000000</v>
      </c>
    </row>
    <row r="16" spans="2:5" x14ac:dyDescent="0.25">
      <c r="B16" s="37" t="s">
        <v>1</v>
      </c>
      <c r="C16" s="43" t="s">
        <v>50</v>
      </c>
      <c r="D16" s="147">
        <v>3000000</v>
      </c>
      <c r="E16" s="148">
        <v>3000000</v>
      </c>
    </row>
    <row r="17" spans="2:10" x14ac:dyDescent="0.25">
      <c r="B17" s="37" t="s">
        <v>2</v>
      </c>
      <c r="C17" s="43" t="s">
        <v>40</v>
      </c>
      <c r="D17" s="147">
        <v>2000000</v>
      </c>
      <c r="E17" s="148">
        <v>2000000</v>
      </c>
    </row>
    <row r="18" spans="2:10" x14ac:dyDescent="0.25">
      <c r="B18" s="37" t="s">
        <v>5</v>
      </c>
      <c r="C18" s="43" t="s">
        <v>40</v>
      </c>
      <c r="D18" s="147">
        <v>2000000</v>
      </c>
      <c r="E18" s="148">
        <v>2000000</v>
      </c>
    </row>
    <row r="19" spans="2:10" x14ac:dyDescent="0.25">
      <c r="B19" s="37" t="s">
        <v>24</v>
      </c>
      <c r="C19" s="43" t="s">
        <v>50</v>
      </c>
      <c r="D19" s="147">
        <v>2000000</v>
      </c>
      <c r="E19" s="148">
        <v>2000000</v>
      </c>
    </row>
    <row r="20" spans="2:10" x14ac:dyDescent="0.25">
      <c r="B20" s="38" t="s">
        <v>4</v>
      </c>
      <c r="C20" s="45"/>
      <c r="D20" s="149">
        <f>SUM(D15:D19)</f>
        <v>12000000</v>
      </c>
      <c r="E20" s="150">
        <f>SUM(E15:E19)</f>
        <v>12000000</v>
      </c>
    </row>
    <row r="22" spans="2:10" ht="21" customHeight="1" x14ac:dyDescent="0.25">
      <c r="B22" s="33" t="s">
        <v>64</v>
      </c>
      <c r="C22" s="34"/>
      <c r="D22" s="35"/>
    </row>
    <row r="23" spans="2:10" ht="18" x14ac:dyDescent="0.25">
      <c r="B23" s="46"/>
      <c r="C23" s="169" t="s">
        <v>93</v>
      </c>
      <c r="D23" s="172" t="s">
        <v>93</v>
      </c>
    </row>
    <row r="24" spans="2:10" x14ac:dyDescent="0.25">
      <c r="B24" s="6"/>
      <c r="C24" s="11" t="s">
        <v>9</v>
      </c>
      <c r="D24" s="12" t="s">
        <v>8</v>
      </c>
    </row>
    <row r="25" spans="2:10" x14ac:dyDescent="0.25">
      <c r="B25" s="37" t="s">
        <v>0</v>
      </c>
      <c r="C25" s="28">
        <v>50000</v>
      </c>
      <c r="D25" s="40">
        <v>40000</v>
      </c>
    </row>
    <row r="26" spans="2:10" x14ac:dyDescent="0.25">
      <c r="B26" s="37" t="s">
        <v>1</v>
      </c>
      <c r="C26" s="28">
        <v>80000</v>
      </c>
      <c r="D26" s="40">
        <v>60000</v>
      </c>
    </row>
    <row r="27" spans="2:10" x14ac:dyDescent="0.25">
      <c r="B27" s="37" t="s">
        <v>2</v>
      </c>
      <c r="C27" s="28">
        <v>12000000</v>
      </c>
      <c r="D27" s="40">
        <v>12000000</v>
      </c>
    </row>
    <row r="28" spans="2:10" x14ac:dyDescent="0.25">
      <c r="B28" s="37" t="s">
        <v>5</v>
      </c>
      <c r="C28" s="28">
        <v>600000</v>
      </c>
      <c r="D28" s="40">
        <v>750000</v>
      </c>
    </row>
    <row r="29" spans="2:10" x14ac:dyDescent="0.25">
      <c r="B29" s="37" t="s">
        <v>24</v>
      </c>
      <c r="C29" s="28">
        <v>1500000</v>
      </c>
      <c r="D29" s="40">
        <v>100000</v>
      </c>
    </row>
    <row r="30" spans="2:10" x14ac:dyDescent="0.25">
      <c r="B30" s="38" t="s">
        <v>4</v>
      </c>
      <c r="C30" s="41">
        <f>SUM(C25:C29)</f>
        <v>14230000</v>
      </c>
      <c r="D30" s="42">
        <f>SUM(D25:D29)</f>
        <v>12950000</v>
      </c>
    </row>
    <row r="31" spans="2:10" x14ac:dyDescent="0.25">
      <c r="J31" s="52"/>
    </row>
    <row r="32" spans="2:10" x14ac:dyDescent="0.25">
      <c r="J32" s="52"/>
    </row>
    <row r="33" spans="2:10" s="10" customFormat="1" ht="23.1" customHeight="1" x14ac:dyDescent="0.25">
      <c r="B33" s="15" t="s">
        <v>99</v>
      </c>
    </row>
    <row r="34" spans="2:10" x14ac:dyDescent="0.25">
      <c r="J34" s="52"/>
    </row>
    <row r="35" spans="2:10" x14ac:dyDescent="0.25">
      <c r="B35" s="39" t="s">
        <v>65</v>
      </c>
      <c r="C35" s="64"/>
      <c r="D35" s="64"/>
      <c r="E35" s="64"/>
      <c r="F35" s="64"/>
      <c r="G35" s="64"/>
      <c r="H35" s="65"/>
      <c r="J35" s="52"/>
    </row>
    <row r="36" spans="2:10" ht="18" x14ac:dyDescent="0.25">
      <c r="B36" s="62"/>
      <c r="C36" s="176" t="s">
        <v>100</v>
      </c>
      <c r="D36" s="169"/>
      <c r="E36" s="169"/>
      <c r="F36" s="169"/>
      <c r="G36" s="169"/>
      <c r="H36" s="170"/>
      <c r="J36" s="52"/>
    </row>
    <row r="37" spans="2:10" x14ac:dyDescent="0.25">
      <c r="B37" s="6"/>
      <c r="C37" s="11" t="s">
        <v>104</v>
      </c>
      <c r="D37" s="11" t="s">
        <v>160</v>
      </c>
      <c r="E37" s="11" t="s">
        <v>103</v>
      </c>
      <c r="F37" s="11" t="s">
        <v>29</v>
      </c>
      <c r="G37" s="11" t="s">
        <v>66</v>
      </c>
      <c r="H37" s="12" t="s">
        <v>67</v>
      </c>
      <c r="J37" s="52"/>
    </row>
    <row r="38" spans="2:10" x14ac:dyDescent="0.25">
      <c r="B38" s="37" t="s">
        <v>0</v>
      </c>
      <c r="C38" s="88">
        <f>D25-C25</f>
        <v>-10000</v>
      </c>
      <c r="D38" s="88">
        <f>C38</f>
        <v>-10000</v>
      </c>
      <c r="E38" s="88">
        <v>0</v>
      </c>
      <c r="F38" s="88">
        <v>0</v>
      </c>
      <c r="G38" s="88">
        <v>0</v>
      </c>
      <c r="H38" s="89">
        <v>0</v>
      </c>
      <c r="J38" s="52"/>
    </row>
    <row r="39" spans="2:10" x14ac:dyDescent="0.25">
      <c r="B39" s="37" t="s">
        <v>1</v>
      </c>
      <c r="C39" s="88">
        <f>D26-C26</f>
        <v>-20000</v>
      </c>
      <c r="D39" s="88">
        <f>C39</f>
        <v>-20000</v>
      </c>
      <c r="E39" s="88">
        <v>0</v>
      </c>
      <c r="F39" s="88">
        <v>0</v>
      </c>
      <c r="G39" s="88">
        <v>0</v>
      </c>
      <c r="H39" s="89">
        <v>0</v>
      </c>
      <c r="J39" s="52"/>
    </row>
    <row r="40" spans="2:10" x14ac:dyDescent="0.25">
      <c r="B40" s="37" t="s">
        <v>2</v>
      </c>
      <c r="C40" s="88">
        <f t="shared" ref="C40" si="0">D27-C27</f>
        <v>0</v>
      </c>
      <c r="D40" s="88">
        <v>0</v>
      </c>
      <c r="E40" s="88">
        <v>0</v>
      </c>
      <c r="F40" s="88">
        <v>0</v>
      </c>
      <c r="G40" s="88">
        <v>0</v>
      </c>
      <c r="H40" s="89">
        <v>0</v>
      </c>
      <c r="J40" s="52"/>
    </row>
    <row r="41" spans="2:10" x14ac:dyDescent="0.25">
      <c r="B41" s="37" t="s">
        <v>5</v>
      </c>
      <c r="C41" s="88">
        <f>D28-C28</f>
        <v>150000</v>
      </c>
      <c r="D41" s="88">
        <f>C41</f>
        <v>150000</v>
      </c>
      <c r="E41" s="88">
        <v>0</v>
      </c>
      <c r="F41" s="88">
        <v>0</v>
      </c>
      <c r="G41" s="88">
        <v>0</v>
      </c>
      <c r="H41" s="89">
        <v>0</v>
      </c>
      <c r="J41" s="52"/>
    </row>
    <row r="42" spans="2:10" x14ac:dyDescent="0.25">
      <c r="B42" s="37" t="s">
        <v>24</v>
      </c>
      <c r="C42" s="88">
        <f>D29-C29</f>
        <v>-1400000</v>
      </c>
      <c r="D42" s="88">
        <v>-25000</v>
      </c>
      <c r="E42" s="88">
        <v>0</v>
      </c>
      <c r="F42" s="88">
        <v>-800000</v>
      </c>
      <c r="G42" s="88">
        <f>C42-D42-F42</f>
        <v>-575000</v>
      </c>
      <c r="H42" s="89">
        <v>0</v>
      </c>
      <c r="J42" s="52"/>
    </row>
    <row r="43" spans="2:10" x14ac:dyDescent="0.25">
      <c r="B43" s="38" t="s">
        <v>4</v>
      </c>
      <c r="C43" s="92">
        <f>SUM(C38:C42)</f>
        <v>-1280000</v>
      </c>
      <c r="D43" s="92">
        <f>SUM(D38:D42)</f>
        <v>95000</v>
      </c>
      <c r="E43" s="92">
        <f t="shared" ref="E43:H43" si="1">SUM(E38:E42)</f>
        <v>0</v>
      </c>
      <c r="F43" s="92">
        <f t="shared" si="1"/>
        <v>-800000</v>
      </c>
      <c r="G43" s="92">
        <f t="shared" si="1"/>
        <v>-575000</v>
      </c>
      <c r="H43" s="93">
        <f t="shared" si="1"/>
        <v>0</v>
      </c>
      <c r="J43" s="52"/>
    </row>
    <row r="44" spans="2:10" x14ac:dyDescent="0.25">
      <c r="J44" s="52"/>
    </row>
    <row r="45" spans="2:10" x14ac:dyDescent="0.25">
      <c r="J45" s="52"/>
    </row>
    <row r="46" spans="2:10" x14ac:dyDescent="0.25">
      <c r="E46" s="73"/>
    </row>
    <row r="47" spans="2:10" s="10" customFormat="1" ht="23.1" customHeight="1" x14ac:dyDescent="0.25">
      <c r="B47" s="15" t="s">
        <v>52</v>
      </c>
    </row>
    <row r="48" spans="2:10" ht="14.1" customHeight="1" x14ac:dyDescent="0.25"/>
    <row r="49" spans="2:13" ht="18" customHeight="1" x14ac:dyDescent="0.25">
      <c r="B49" s="33" t="s">
        <v>23</v>
      </c>
      <c r="C49" s="47"/>
      <c r="D49" s="48"/>
    </row>
    <row r="50" spans="2:13" ht="17.25" customHeight="1" x14ac:dyDescent="0.35">
      <c r="B50" s="5"/>
      <c r="C50" s="11" t="s">
        <v>21</v>
      </c>
      <c r="D50" s="12" t="s">
        <v>22</v>
      </c>
      <c r="J50" s="32"/>
    </row>
    <row r="51" spans="2:13" ht="14.1" customHeight="1" x14ac:dyDescent="0.25">
      <c r="B51" s="70" t="s">
        <v>42</v>
      </c>
      <c r="C51" s="94">
        <v>0</v>
      </c>
      <c r="D51" s="95">
        <f>1-C51</f>
        <v>1</v>
      </c>
      <c r="J51" s="32"/>
    </row>
    <row r="52" spans="2:13" ht="14.1" customHeight="1" x14ac:dyDescent="0.25">
      <c r="B52" s="70" t="s">
        <v>41</v>
      </c>
      <c r="C52" s="94">
        <v>0.5</v>
      </c>
      <c r="D52" s="95">
        <f>1-C52</f>
        <v>0.5</v>
      </c>
      <c r="J52" s="32"/>
    </row>
    <row r="53" spans="2:13" ht="14.1" customHeight="1" x14ac:dyDescent="0.25">
      <c r="B53" s="72" t="s">
        <v>43</v>
      </c>
      <c r="C53" s="96">
        <v>1</v>
      </c>
      <c r="D53" s="97">
        <f>1-C53</f>
        <v>0</v>
      </c>
      <c r="I53" s="32"/>
      <c r="J53" s="32"/>
    </row>
    <row r="54" spans="2:13" ht="14.1" customHeight="1" x14ac:dyDescent="0.25"/>
    <row r="55" spans="2:13" ht="14.1" customHeight="1" x14ac:dyDescent="0.25">
      <c r="B55" s="33" t="s">
        <v>25</v>
      </c>
      <c r="C55" s="34"/>
      <c r="D55" s="35"/>
    </row>
    <row r="56" spans="2:13" ht="14.1" customHeight="1" x14ac:dyDescent="0.25">
      <c r="B56" s="68"/>
      <c r="C56" s="116" t="s">
        <v>21</v>
      </c>
      <c r="D56" s="117" t="s">
        <v>22</v>
      </c>
    </row>
    <row r="57" spans="2:13" ht="14.1" customHeight="1" x14ac:dyDescent="0.25">
      <c r="B57" s="115" t="s">
        <v>41</v>
      </c>
      <c r="C57" s="118">
        <f>VLOOKUP(B57,$B$51:$D$53,2,FALSE)</f>
        <v>0.5</v>
      </c>
      <c r="D57" s="119">
        <f>VLOOKUP(B57,$B$51:$D$53,3,FALSE)</f>
        <v>0.5</v>
      </c>
    </row>
    <row r="58" spans="2:13" ht="14.1" customHeight="1" x14ac:dyDescent="0.25"/>
    <row r="60" spans="2:13" s="10" customFormat="1" ht="23.1" customHeight="1" x14ac:dyDescent="0.25">
      <c r="B60" s="15" t="s">
        <v>51</v>
      </c>
    </row>
    <row r="62" spans="2:13" s="36" customFormat="1" ht="21.75" customHeight="1" x14ac:dyDescent="0.25">
      <c r="B62" s="33" t="s">
        <v>46</v>
      </c>
      <c r="C62" s="34"/>
      <c r="D62" s="34"/>
      <c r="E62" s="35"/>
      <c r="L62"/>
      <c r="M62"/>
    </row>
    <row r="63" spans="2:13" ht="36" customHeight="1" x14ac:dyDescent="0.25">
      <c r="B63" s="6"/>
      <c r="C63" s="11" t="s">
        <v>14</v>
      </c>
      <c r="D63" s="11" t="s">
        <v>15</v>
      </c>
      <c r="E63" s="98" t="s">
        <v>10</v>
      </c>
    </row>
    <row r="64" spans="2:13" x14ac:dyDescent="0.25">
      <c r="B64" s="37" t="s">
        <v>0</v>
      </c>
      <c r="C64" s="99">
        <f>E15/E$20</f>
        <v>0.25</v>
      </c>
      <c r="D64" s="100">
        <f>D25/D$30</f>
        <v>3.0888030888030888E-3</v>
      </c>
      <c r="E64" s="107">
        <f>(C64*$D$57)+(D64*$C$57)</f>
        <v>0.12654440154440155</v>
      </c>
    </row>
    <row r="65" spans="2:5" x14ac:dyDescent="0.25">
      <c r="B65" s="37" t="s">
        <v>1</v>
      </c>
      <c r="C65" s="99">
        <f>E16/E$20</f>
        <v>0.25</v>
      </c>
      <c r="D65" s="100">
        <f>D26/D$30</f>
        <v>4.633204633204633E-3</v>
      </c>
      <c r="E65" s="107">
        <f t="shared" ref="E65:E67" si="2">(C65*$D$57)+(D65*$C$57)</f>
        <v>0.12731660231660233</v>
      </c>
    </row>
    <row r="66" spans="2:5" x14ac:dyDescent="0.25">
      <c r="B66" s="37" t="s">
        <v>2</v>
      </c>
      <c r="C66" s="99">
        <f>E17/E$20</f>
        <v>0.16666666666666666</v>
      </c>
      <c r="D66" s="100">
        <f>D27/D$30</f>
        <v>0.92664092664092668</v>
      </c>
      <c r="E66" s="107">
        <f t="shared" si="2"/>
        <v>0.54665379665379665</v>
      </c>
    </row>
    <row r="67" spans="2:5" x14ac:dyDescent="0.25">
      <c r="B67" s="37" t="s">
        <v>5</v>
      </c>
      <c r="C67" s="99">
        <f>E18/E$20</f>
        <v>0.16666666666666666</v>
      </c>
      <c r="D67" s="100">
        <f>D28/D$30</f>
        <v>5.7915057915057917E-2</v>
      </c>
      <c r="E67" s="107">
        <f t="shared" si="2"/>
        <v>0.11229086229086228</v>
      </c>
    </row>
    <row r="68" spans="2:5" x14ac:dyDescent="0.25">
      <c r="B68" s="37" t="s">
        <v>24</v>
      </c>
      <c r="C68" s="99">
        <f>E19/E$20</f>
        <v>0.16666666666666666</v>
      </c>
      <c r="D68" s="100">
        <f>D29/D$30</f>
        <v>7.7220077220077222E-3</v>
      </c>
      <c r="E68" s="107">
        <f>(C68*$D$57)+(D68*$C$57)</f>
        <v>8.7194337194337196E-2</v>
      </c>
    </row>
    <row r="69" spans="2:5" x14ac:dyDescent="0.25">
      <c r="B69" s="38" t="s">
        <v>4</v>
      </c>
      <c r="C69" s="151">
        <f>SUM(C64:C68)</f>
        <v>0.99999999999999989</v>
      </c>
      <c r="D69" s="151">
        <f>SUM(D64:D68)</f>
        <v>1</v>
      </c>
      <c r="E69" s="152">
        <f>SUM(E64:E68)</f>
        <v>1</v>
      </c>
    </row>
    <row r="70" spans="2:5" ht="14.1" customHeight="1" x14ac:dyDescent="0.25"/>
    <row r="71" spans="2:5" ht="14.1" customHeight="1" x14ac:dyDescent="0.25"/>
    <row r="72" spans="2:5" s="10" customFormat="1" ht="23.1" customHeight="1" x14ac:dyDescent="0.25">
      <c r="B72" s="15" t="s">
        <v>53</v>
      </c>
    </row>
    <row r="74" spans="2:5" s="25" customFormat="1" ht="23.1" customHeight="1" x14ac:dyDescent="0.25">
      <c r="B74" s="24" t="s">
        <v>101</v>
      </c>
    </row>
    <row r="76" spans="2:5" x14ac:dyDescent="0.25">
      <c r="B76" s="33" t="s">
        <v>68</v>
      </c>
      <c r="C76" s="7"/>
      <c r="D76" s="8"/>
    </row>
    <row r="77" spans="2:5" x14ac:dyDescent="0.25">
      <c r="B77" s="16"/>
      <c r="C77" s="19" t="s">
        <v>10</v>
      </c>
      <c r="D77" s="20" t="s">
        <v>19</v>
      </c>
    </row>
    <row r="78" spans="2:5" x14ac:dyDescent="0.25">
      <c r="B78" s="37" t="s">
        <v>0</v>
      </c>
      <c r="C78" s="120">
        <f>E64</f>
        <v>0.12654440154440155</v>
      </c>
      <c r="D78" s="121">
        <f>D25/C25-1</f>
        <v>-0.19999999999999996</v>
      </c>
    </row>
    <row r="79" spans="2:5" x14ac:dyDescent="0.25">
      <c r="B79" s="37" t="s">
        <v>1</v>
      </c>
      <c r="C79" s="120">
        <f t="shared" ref="C79:C82" si="3">E65</f>
        <v>0.12731660231660233</v>
      </c>
      <c r="D79" s="121">
        <f>D26/C26-1</f>
        <v>-0.25</v>
      </c>
    </row>
    <row r="80" spans="2:5" x14ac:dyDescent="0.25">
      <c r="B80" s="37" t="s">
        <v>2</v>
      </c>
      <c r="C80" s="120">
        <f t="shared" si="3"/>
        <v>0.54665379665379665</v>
      </c>
      <c r="D80" s="121">
        <f>D27/C27-1</f>
        <v>0</v>
      </c>
    </row>
    <row r="81" spans="2:4" x14ac:dyDescent="0.25">
      <c r="B81" s="37" t="s">
        <v>5</v>
      </c>
      <c r="C81" s="120">
        <f t="shared" si="3"/>
        <v>0.11229086229086228</v>
      </c>
      <c r="D81" s="121">
        <f>D28/C28-1</f>
        <v>0.25</v>
      </c>
    </row>
    <row r="82" spans="2:4" x14ac:dyDescent="0.25">
      <c r="B82" s="37" t="s">
        <v>24</v>
      </c>
      <c r="C82" s="120">
        <f t="shared" si="3"/>
        <v>8.7194337194337196E-2</v>
      </c>
      <c r="D82" s="121">
        <f>D29/C29-1</f>
        <v>-0.93333333333333335</v>
      </c>
    </row>
    <row r="83" spans="2:4" x14ac:dyDescent="0.25">
      <c r="B83" s="67" t="s">
        <v>16</v>
      </c>
      <c r="C83" s="122"/>
      <c r="D83" s="123">
        <f>SUMPRODUCT(E64:E68,D78:D82)</f>
        <v>-0.11044669669669671</v>
      </c>
    </row>
    <row r="86" spans="2:4" s="25" customFormat="1" ht="23.1" customHeight="1" x14ac:dyDescent="0.25">
      <c r="B86" s="24" t="s">
        <v>102</v>
      </c>
    </row>
    <row r="88" spans="2:4" x14ac:dyDescent="0.25">
      <c r="B88" s="33" t="s">
        <v>74</v>
      </c>
      <c r="C88" s="34"/>
      <c r="D88" s="35"/>
    </row>
    <row r="89" spans="2:4" ht="18" x14ac:dyDescent="0.25">
      <c r="B89" s="62"/>
      <c r="C89" s="169" t="s">
        <v>93</v>
      </c>
      <c r="D89" s="170"/>
    </row>
    <row r="90" spans="2:4" x14ac:dyDescent="0.25">
      <c r="B90" s="6"/>
      <c r="C90" s="11" t="s">
        <v>9</v>
      </c>
      <c r="D90" s="12" t="s">
        <v>8</v>
      </c>
    </row>
    <row r="91" spans="2:4" x14ac:dyDescent="0.25">
      <c r="B91" s="37" t="s">
        <v>0</v>
      </c>
      <c r="C91" s="127">
        <f>C25+SUM(F38:H38)</f>
        <v>50000</v>
      </c>
      <c r="D91" s="129">
        <f t="shared" ref="D91:D93" si="4">C91+SUM(D38:E38)</f>
        <v>40000</v>
      </c>
    </row>
    <row r="92" spans="2:4" x14ac:dyDescent="0.25">
      <c r="B92" s="37" t="s">
        <v>1</v>
      </c>
      <c r="C92" s="127">
        <f>C26+SUM(F39:H39)</f>
        <v>80000</v>
      </c>
      <c r="D92" s="129">
        <f t="shared" si="4"/>
        <v>60000</v>
      </c>
    </row>
    <row r="93" spans="2:4" x14ac:dyDescent="0.25">
      <c r="B93" s="37" t="s">
        <v>2</v>
      </c>
      <c r="C93" s="127">
        <f t="shared" ref="C93:C94" si="5">C27+SUM(F40:H40)</f>
        <v>12000000</v>
      </c>
      <c r="D93" s="129">
        <f t="shared" si="4"/>
        <v>12000000</v>
      </c>
    </row>
    <row r="94" spans="2:4" x14ac:dyDescent="0.25">
      <c r="B94" s="37" t="s">
        <v>5</v>
      </c>
      <c r="C94" s="127">
        <f t="shared" si="5"/>
        <v>600000</v>
      </c>
      <c r="D94" s="129">
        <f>C94+SUM(D41:E41)</f>
        <v>750000</v>
      </c>
    </row>
    <row r="95" spans="2:4" x14ac:dyDescent="0.25">
      <c r="B95" s="37" t="s">
        <v>24</v>
      </c>
      <c r="C95" s="126">
        <f>C29+SUM(F42:H42)</f>
        <v>125000</v>
      </c>
      <c r="D95" s="128">
        <f>C95+SUM(D42:E42)</f>
        <v>100000</v>
      </c>
    </row>
    <row r="96" spans="2:4" x14ac:dyDescent="0.25">
      <c r="B96" s="38" t="s">
        <v>4</v>
      </c>
      <c r="C96" s="92">
        <f>SUM(C91:C95)</f>
        <v>12855000</v>
      </c>
      <c r="D96" s="93">
        <f>SUM(D91:D95)</f>
        <v>12950000</v>
      </c>
    </row>
    <row r="98" spans="2:4" x14ac:dyDescent="0.25">
      <c r="B98" s="33" t="s">
        <v>73</v>
      </c>
      <c r="C98" s="7"/>
      <c r="D98" s="8"/>
    </row>
    <row r="99" spans="2:4" x14ac:dyDescent="0.25">
      <c r="B99" s="16"/>
      <c r="C99" s="19" t="s">
        <v>72</v>
      </c>
      <c r="D99" s="20" t="s">
        <v>19</v>
      </c>
    </row>
    <row r="100" spans="2:4" x14ac:dyDescent="0.25">
      <c r="B100" s="37" t="s">
        <v>0</v>
      </c>
      <c r="C100" s="120">
        <f>(C64*$D$57)+(D91/$D$96*$C$57)</f>
        <v>0.12654440154440155</v>
      </c>
      <c r="D100" s="121">
        <f>D91/C91-1</f>
        <v>-0.19999999999999996</v>
      </c>
    </row>
    <row r="101" spans="2:4" x14ac:dyDescent="0.25">
      <c r="B101" s="37" t="s">
        <v>1</v>
      </c>
      <c r="C101" s="120">
        <f t="shared" ref="C101:C103" si="6">(C65*$D$57)+(D92/$D$96*$C$57)</f>
        <v>0.12731660231660233</v>
      </c>
      <c r="D101" s="121">
        <f t="shared" ref="D101:D103" si="7">D92/C92-1</f>
        <v>-0.25</v>
      </c>
    </row>
    <row r="102" spans="2:4" x14ac:dyDescent="0.25">
      <c r="B102" s="37" t="s">
        <v>2</v>
      </c>
      <c r="C102" s="120">
        <f t="shared" si="6"/>
        <v>0.54665379665379665</v>
      </c>
      <c r="D102" s="121">
        <f t="shared" si="7"/>
        <v>0</v>
      </c>
    </row>
    <row r="103" spans="2:4" x14ac:dyDescent="0.25">
      <c r="B103" s="37" t="s">
        <v>5</v>
      </c>
      <c r="C103" s="120">
        <f t="shared" si="6"/>
        <v>0.11229086229086228</v>
      </c>
      <c r="D103" s="121">
        <f t="shared" si="7"/>
        <v>0.25</v>
      </c>
    </row>
    <row r="104" spans="2:4" x14ac:dyDescent="0.25">
      <c r="B104" s="37" t="s">
        <v>24</v>
      </c>
      <c r="C104" s="120">
        <f>(C68*$D$57)+(D95/$D$96*$C$57)</f>
        <v>8.7194337194337196E-2</v>
      </c>
      <c r="D104" s="124">
        <f>D95/C95-1</f>
        <v>-0.19999999999999996</v>
      </c>
    </row>
    <row r="105" spans="2:4" x14ac:dyDescent="0.25">
      <c r="B105" s="67" t="s">
        <v>16</v>
      </c>
      <c r="C105" s="122"/>
      <c r="D105" s="123">
        <f>SUMPRODUCT(C100:C104,D100:D104)</f>
        <v>-4.6504182754182756E-2</v>
      </c>
    </row>
    <row r="108" spans="2:4" s="25" customFormat="1" ht="23.1" customHeight="1" x14ac:dyDescent="0.25">
      <c r="B108" s="24" t="s">
        <v>105</v>
      </c>
    </row>
    <row r="110" spans="2:4" x14ac:dyDescent="0.25">
      <c r="B110" s="33" t="s">
        <v>106</v>
      </c>
      <c r="C110" s="48"/>
    </row>
    <row r="111" spans="2:4" x14ac:dyDescent="0.25">
      <c r="B111" s="70" t="s">
        <v>70</v>
      </c>
      <c r="C111" s="71">
        <v>0.5</v>
      </c>
    </row>
    <row r="112" spans="2:4" x14ac:dyDescent="0.25">
      <c r="B112" s="72" t="s">
        <v>69</v>
      </c>
      <c r="C112" s="60">
        <v>-0.4</v>
      </c>
    </row>
    <row r="114" spans="2:6" x14ac:dyDescent="0.25">
      <c r="B114" s="33" t="s">
        <v>73</v>
      </c>
      <c r="C114" s="7"/>
      <c r="D114" s="7"/>
      <c r="E114" s="8"/>
    </row>
    <row r="115" spans="2:6" ht="30" x14ac:dyDescent="0.25">
      <c r="B115" s="16"/>
      <c r="C115" s="76" t="s">
        <v>71</v>
      </c>
      <c r="D115" s="19" t="s">
        <v>72</v>
      </c>
      <c r="E115" s="20" t="s">
        <v>19</v>
      </c>
    </row>
    <row r="116" spans="2:6" x14ac:dyDescent="0.25">
      <c r="B116" s="37" t="s">
        <v>0</v>
      </c>
      <c r="C116" s="125">
        <f>IF(OR(D78&gt;$C$111,D78&lt;$C$112),0,1)</f>
        <v>1</v>
      </c>
      <c r="D116" s="120">
        <f>IF(C116=1,$C$57*D25/SUMPRODUCT($D$25:$D$29,$C$116:$C$120)+$D$57*E15/SUMPRODUCT($E$15:$E$19,$C$116:$C$120),"N/A")</f>
        <v>0.15155642023346302</v>
      </c>
      <c r="E116" s="121">
        <f>IF(C116=1,D78,"N/A")</f>
        <v>-0.19999999999999996</v>
      </c>
      <c r="F116" s="31"/>
    </row>
    <row r="117" spans="2:6" x14ac:dyDescent="0.25">
      <c r="B117" s="37" t="s">
        <v>1</v>
      </c>
      <c r="C117" s="125">
        <f t="shared" ref="C117:C120" si="8">IF(OR(D79&gt;$C$111,D79&lt;$C$112),0,1)</f>
        <v>1</v>
      </c>
      <c r="D117" s="120">
        <f t="shared" ref="D117:D120" si="9">IF(C117=1,$C$57*D26/SUMPRODUCT($D$25:$D$29,$C$116:$C$120)+$D$57*E16/SUMPRODUCT($E$15:$E$19,$C$116:$C$120),"N/A")</f>
        <v>0.15233463035019454</v>
      </c>
      <c r="E117" s="121">
        <f t="shared" ref="E117:E120" si="10">IF(C117=1,D79,"N/A")</f>
        <v>-0.25</v>
      </c>
    </row>
    <row r="118" spans="2:6" x14ac:dyDescent="0.25">
      <c r="B118" s="37" t="s">
        <v>2</v>
      </c>
      <c r="C118" s="125">
        <f t="shared" si="8"/>
        <v>1</v>
      </c>
      <c r="D118" s="120">
        <f t="shared" si="9"/>
        <v>0.56692607003891049</v>
      </c>
      <c r="E118" s="121">
        <f t="shared" si="10"/>
        <v>0</v>
      </c>
    </row>
    <row r="119" spans="2:6" x14ac:dyDescent="0.25">
      <c r="B119" s="37" t="s">
        <v>5</v>
      </c>
      <c r="C119" s="125">
        <f t="shared" si="8"/>
        <v>1</v>
      </c>
      <c r="D119" s="120">
        <f t="shared" si="9"/>
        <v>0.12918287937743192</v>
      </c>
      <c r="E119" s="121">
        <f t="shared" si="10"/>
        <v>0.25</v>
      </c>
    </row>
    <row r="120" spans="2:6" x14ac:dyDescent="0.25">
      <c r="B120" s="37" t="s">
        <v>24</v>
      </c>
      <c r="C120" s="125">
        <f t="shared" si="8"/>
        <v>0</v>
      </c>
      <c r="D120" s="120" t="str">
        <f t="shared" si="9"/>
        <v>N/A</v>
      </c>
      <c r="E120" s="121" t="str">
        <f t="shared" si="10"/>
        <v>N/A</v>
      </c>
    </row>
    <row r="121" spans="2:6" x14ac:dyDescent="0.25">
      <c r="B121" s="67" t="s">
        <v>16</v>
      </c>
      <c r="C121" s="122"/>
      <c r="D121" s="122"/>
      <c r="E121" s="123">
        <f>SUMPRODUCT(D116:D120,E116:E120)</f>
        <v>-3.609922178988325E-2</v>
      </c>
    </row>
  </sheetData>
  <dataValidations count="1">
    <dataValidation type="list" allowBlank="1" showInputMessage="1" showErrorMessage="1" sqref="B57" xr:uid="{00000000-0002-0000-0300-000000000000}">
      <formula1>$B$51:$B$53</formula1>
    </dataValidation>
  </dataValidations>
  <pageMargins left="0.7" right="0.7" top="0.78740157499999996" bottom="0.78740157499999996" header="0.3" footer="0.3"/>
  <pageSetup paperSize="9" orientation="portrait" r:id="rId1"/>
  <headerFooter>
    <oddHeader>&amp;C&amp;"Calibri"&amp;10&amp;K000000Umweltbundesamt GmbH - intern&amp;1#</oddHeader>
    <oddFooter>&amp;C&amp;1#&amp;"Calibri"&amp;10&amp;K000000Umweltbundesamt GmbH - intern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9FA4-D844-40D9-9B3A-9F23D61034B8}">
  <sheetPr>
    <tabColor rgb="FF168E4D"/>
  </sheetPr>
  <dimension ref="B1:J70"/>
  <sheetViews>
    <sheetView showGridLines="0" topLeftCell="A13" zoomScale="70" zoomScaleNormal="70" workbookViewId="0">
      <selection activeCell="M49" sqref="M49"/>
    </sheetView>
  </sheetViews>
  <sheetFormatPr baseColWidth="10" defaultRowHeight="15" x14ac:dyDescent="0.25"/>
  <cols>
    <col min="1" max="1" width="18.5703125" customWidth="1"/>
    <col min="2" max="2" width="80.28515625" customWidth="1"/>
    <col min="3" max="7" width="10.140625" customWidth="1"/>
    <col min="8" max="8" width="13.85546875" customWidth="1"/>
    <col min="9" max="9" width="10.140625" customWidth="1"/>
    <col min="10" max="13" width="14.5703125" customWidth="1"/>
  </cols>
  <sheetData>
    <row r="1" spans="2:10" ht="26.25" x14ac:dyDescent="0.4">
      <c r="B1" s="2" t="s">
        <v>118</v>
      </c>
    </row>
    <row r="2" spans="2:10" s="36" customFormat="1" ht="17.25" customHeight="1" x14ac:dyDescent="0.25">
      <c r="B2" s="174" t="s">
        <v>121</v>
      </c>
      <c r="C2" s="173"/>
      <c r="D2" s="173"/>
      <c r="E2" s="173"/>
    </row>
    <row r="3" spans="2:10" s="36" customFormat="1" ht="17.25" customHeight="1" x14ac:dyDescent="0.25">
      <c r="B3" s="180" t="s">
        <v>122</v>
      </c>
      <c r="C3" s="173"/>
      <c r="D3" s="173"/>
      <c r="E3" s="173"/>
    </row>
    <row r="4" spans="2:10" x14ac:dyDescent="0.25">
      <c r="B4" s="1"/>
    </row>
    <row r="5" spans="2:10" x14ac:dyDescent="0.25">
      <c r="B5" s="17" t="s">
        <v>6</v>
      </c>
      <c r="C5" s="7"/>
      <c r="D5" s="7"/>
      <c r="E5" s="7"/>
      <c r="F5" s="8"/>
    </row>
    <row r="6" spans="2:10" x14ac:dyDescent="0.25">
      <c r="B6" s="157" t="s">
        <v>7</v>
      </c>
      <c r="C6" s="179" t="s">
        <v>11</v>
      </c>
      <c r="D6" s="179"/>
      <c r="E6" s="177" t="s">
        <v>12</v>
      </c>
      <c r="F6" s="178"/>
    </row>
    <row r="8" spans="2:10" s="57" customFormat="1" ht="23.1" customHeight="1" x14ac:dyDescent="0.25">
      <c r="B8" s="58" t="s">
        <v>161</v>
      </c>
    </row>
    <row r="10" spans="2:10" s="10" customFormat="1" ht="23.1" customHeight="1" x14ac:dyDescent="0.25">
      <c r="B10" s="15" t="s">
        <v>17</v>
      </c>
    </row>
    <row r="12" spans="2:10" ht="21" customHeight="1" x14ac:dyDescent="0.25">
      <c r="B12" s="33" t="s">
        <v>75</v>
      </c>
      <c r="C12" s="34"/>
      <c r="D12" s="34"/>
      <c r="E12" s="34"/>
      <c r="F12" s="34"/>
      <c r="G12" s="34"/>
      <c r="H12" s="34"/>
      <c r="I12" s="34"/>
      <c r="J12" s="35"/>
    </row>
    <row r="13" spans="2:10" ht="13.5" customHeight="1" x14ac:dyDescent="0.25">
      <c r="B13" s="13"/>
      <c r="C13" s="49">
        <v>2020</v>
      </c>
      <c r="D13" s="49">
        <v>2022</v>
      </c>
      <c r="E13" s="49">
        <v>2025</v>
      </c>
      <c r="F13" s="49">
        <v>2030</v>
      </c>
      <c r="G13" s="49">
        <v>2035</v>
      </c>
      <c r="H13" s="49">
        <v>2040</v>
      </c>
      <c r="I13" s="49">
        <v>2045</v>
      </c>
      <c r="J13" s="50">
        <v>2050</v>
      </c>
    </row>
    <row r="14" spans="2:10" ht="19.5" customHeight="1" x14ac:dyDescent="0.35">
      <c r="B14" s="130" t="s">
        <v>107</v>
      </c>
      <c r="C14" s="153">
        <v>30000</v>
      </c>
      <c r="D14" s="153">
        <v>39500</v>
      </c>
      <c r="E14" s="153">
        <v>21000</v>
      </c>
      <c r="F14" s="153">
        <v>14500</v>
      </c>
      <c r="G14" s="153">
        <v>9000</v>
      </c>
      <c r="H14" s="153">
        <v>5000</v>
      </c>
      <c r="I14" s="153">
        <v>2500</v>
      </c>
      <c r="J14" s="154">
        <v>0</v>
      </c>
    </row>
    <row r="16" spans="2:10" ht="21" customHeight="1" x14ac:dyDescent="0.25">
      <c r="B16" s="33" t="s">
        <v>20</v>
      </c>
      <c r="C16" s="35"/>
      <c r="D16" s="84"/>
    </row>
    <row r="17" spans="2:10" x14ac:dyDescent="0.25">
      <c r="B17" s="13"/>
      <c r="C17" s="20" t="s">
        <v>32</v>
      </c>
    </row>
    <row r="18" spans="2:10" x14ac:dyDescent="0.25">
      <c r="B18" s="37" t="s">
        <v>33</v>
      </c>
      <c r="C18" s="131">
        <v>2020</v>
      </c>
    </row>
    <row r="19" spans="2:10" x14ac:dyDescent="0.25">
      <c r="B19" s="37" t="s">
        <v>34</v>
      </c>
      <c r="C19" s="131">
        <v>2030</v>
      </c>
    </row>
    <row r="20" spans="2:10" x14ac:dyDescent="0.25">
      <c r="B20" s="37" t="s">
        <v>35</v>
      </c>
      <c r="C20" s="131">
        <v>2025</v>
      </c>
    </row>
    <row r="21" spans="2:10" x14ac:dyDescent="0.25">
      <c r="B21" s="51" t="s">
        <v>77</v>
      </c>
      <c r="C21" s="132">
        <f>(F14/C14)^(1/(F13-C13))-1</f>
        <v>-7.0124779389855618E-2</v>
      </c>
      <c r="D21" s="31"/>
    </row>
    <row r="22" spans="2:10" x14ac:dyDescent="0.25">
      <c r="J22" s="52"/>
    </row>
    <row r="23" spans="2:10" x14ac:dyDescent="0.25">
      <c r="B23" s="33" t="s">
        <v>108</v>
      </c>
      <c r="C23" s="7"/>
      <c r="D23" s="7"/>
      <c r="E23" s="7"/>
      <c r="F23" s="7"/>
      <c r="G23" s="8"/>
      <c r="J23" s="52"/>
    </row>
    <row r="24" spans="2:10" x14ac:dyDescent="0.25">
      <c r="B24" s="13"/>
      <c r="C24" s="49">
        <v>2021</v>
      </c>
      <c r="D24" s="49">
        <v>2022</v>
      </c>
      <c r="E24" s="49">
        <v>2023</v>
      </c>
      <c r="F24" s="49">
        <v>2024</v>
      </c>
      <c r="G24" s="50">
        <v>2025</v>
      </c>
      <c r="J24" s="52"/>
    </row>
    <row r="25" spans="2:10" x14ac:dyDescent="0.25">
      <c r="B25" s="51" t="s">
        <v>36</v>
      </c>
      <c r="C25" s="133">
        <v>-3.5000000000000003E-2</v>
      </c>
      <c r="D25" s="134">
        <v>-5.5E-2</v>
      </c>
      <c r="E25" s="135">
        <v>5.0000000000000001E-3</v>
      </c>
      <c r="F25" s="135">
        <v>-5.5E-2</v>
      </c>
      <c r="G25" s="137">
        <v>-8.5000000000000006E-2</v>
      </c>
      <c r="J25" s="52"/>
    </row>
    <row r="26" spans="2:10" x14ac:dyDescent="0.25">
      <c r="H26" s="61"/>
      <c r="J26" s="52"/>
    </row>
    <row r="27" spans="2:10" x14ac:dyDescent="0.25">
      <c r="H27" s="61"/>
      <c r="J27" s="52"/>
    </row>
    <row r="28" spans="2:10" s="10" customFormat="1" ht="23.1" customHeight="1" x14ac:dyDescent="0.25">
      <c r="B28" s="15" t="s">
        <v>28</v>
      </c>
    </row>
    <row r="30" spans="2:10" x14ac:dyDescent="0.25">
      <c r="B30" s="39" t="s">
        <v>76</v>
      </c>
      <c r="C30" s="65"/>
    </row>
    <row r="31" spans="2:10" x14ac:dyDescent="0.25">
      <c r="B31" s="13"/>
      <c r="C31" s="20" t="s">
        <v>32</v>
      </c>
    </row>
    <row r="32" spans="2:10" x14ac:dyDescent="0.25">
      <c r="B32" s="187" t="s">
        <v>109</v>
      </c>
      <c r="C32" s="188">
        <f>AVERAGE(C40:G40)</f>
        <v>-4.4999999999999998E-2</v>
      </c>
    </row>
    <row r="33" spans="2:10" x14ac:dyDescent="0.25">
      <c r="B33" s="85" t="s">
        <v>113</v>
      </c>
      <c r="C33" s="136">
        <f>(C21*(C19-C18)-C32*(C20-C18))/(C19-C20)</f>
        <v>-9.5249558779711238E-2</v>
      </c>
    </row>
    <row r="36" spans="2:10" s="10" customFormat="1" ht="23.1" customHeight="1" x14ac:dyDescent="0.25">
      <c r="B36" s="15" t="s">
        <v>134</v>
      </c>
    </row>
    <row r="37" spans="2:10" ht="14.1" customHeight="1" x14ac:dyDescent="0.25"/>
    <row r="38" spans="2:10" ht="17.25" customHeight="1" x14ac:dyDescent="0.25">
      <c r="B38" s="39" t="s">
        <v>78</v>
      </c>
      <c r="C38" s="3"/>
      <c r="D38" s="3"/>
      <c r="E38" s="3"/>
      <c r="F38" s="3"/>
      <c r="G38" s="3"/>
      <c r="H38" s="4"/>
      <c r="J38" s="32"/>
    </row>
    <row r="39" spans="2:10" ht="14.1" customHeight="1" x14ac:dyDescent="0.25">
      <c r="B39" s="13"/>
      <c r="C39" s="19">
        <f>C24</f>
        <v>2021</v>
      </c>
      <c r="D39" s="19">
        <f t="shared" ref="D39:G40" si="0">D24</f>
        <v>2022</v>
      </c>
      <c r="E39" s="19">
        <f t="shared" si="0"/>
        <v>2023</v>
      </c>
      <c r="F39" s="19">
        <f t="shared" si="0"/>
        <v>2024</v>
      </c>
      <c r="G39" s="19">
        <f t="shared" si="0"/>
        <v>2025</v>
      </c>
      <c r="H39" s="20" t="s">
        <v>112</v>
      </c>
      <c r="J39" s="32"/>
    </row>
    <row r="40" spans="2:10" ht="14.1" customHeight="1" x14ac:dyDescent="0.25">
      <c r="B40" s="37" t="s">
        <v>36</v>
      </c>
      <c r="C40" s="83">
        <f>C25</f>
        <v>-3.5000000000000003E-2</v>
      </c>
      <c r="D40" s="83">
        <f t="shared" si="0"/>
        <v>-5.5E-2</v>
      </c>
      <c r="E40" s="83">
        <f t="shared" si="0"/>
        <v>5.0000000000000001E-3</v>
      </c>
      <c r="F40" s="83">
        <f t="shared" si="0"/>
        <v>-5.5E-2</v>
      </c>
      <c r="G40" s="83">
        <f t="shared" si="0"/>
        <v>-8.5000000000000006E-2</v>
      </c>
      <c r="H40" s="87"/>
      <c r="J40" s="32"/>
    </row>
    <row r="41" spans="2:10" ht="14.1" customHeight="1" x14ac:dyDescent="0.25">
      <c r="B41" s="6" t="s">
        <v>110</v>
      </c>
      <c r="C41" s="81">
        <f>$C$32</f>
        <v>-4.4999999999999998E-2</v>
      </c>
      <c r="D41" s="81">
        <f>$C$32</f>
        <v>-4.4999999999999998E-2</v>
      </c>
      <c r="E41" s="81">
        <f>$C$32</f>
        <v>-4.4999999999999998E-2</v>
      </c>
      <c r="F41" s="81">
        <f>$C$32</f>
        <v>-4.4999999999999998E-2</v>
      </c>
      <c r="G41" s="81">
        <f>$C$32</f>
        <v>-4.4999999999999998E-2</v>
      </c>
      <c r="H41" s="87"/>
      <c r="J41" s="32"/>
    </row>
    <row r="42" spans="2:10" ht="14.1" customHeight="1" x14ac:dyDescent="0.25">
      <c r="B42" s="6" t="s">
        <v>37</v>
      </c>
      <c r="C42" s="81">
        <f>$C$21</f>
        <v>-7.0124779389855618E-2</v>
      </c>
      <c r="D42" s="81">
        <f>$C$21</f>
        <v>-7.0124779389855618E-2</v>
      </c>
      <c r="E42" s="81">
        <f>$C$21</f>
        <v>-7.0124779389855618E-2</v>
      </c>
      <c r="F42" s="81">
        <f>$C$21</f>
        <v>-7.0124779389855618E-2</v>
      </c>
      <c r="G42" s="81">
        <f>$C$21</f>
        <v>-7.0124779389855618E-2</v>
      </c>
      <c r="H42" s="87"/>
      <c r="J42" s="32"/>
    </row>
    <row r="43" spans="2:10" x14ac:dyDescent="0.25">
      <c r="B43" s="85" t="s">
        <v>111</v>
      </c>
      <c r="C43" s="86"/>
      <c r="D43" s="86"/>
      <c r="E43" s="86"/>
      <c r="F43" s="86"/>
      <c r="G43" s="86"/>
      <c r="H43" s="82">
        <f>$C$33</f>
        <v>-9.5249558779711238E-2</v>
      </c>
      <c r="J43" s="32"/>
    </row>
    <row r="44" spans="2:10" ht="14.1" customHeight="1" x14ac:dyDescent="0.25">
      <c r="J44" s="32"/>
    </row>
    <row r="45" spans="2:10" ht="14.1" customHeight="1" x14ac:dyDescent="0.25"/>
    <row r="46" spans="2:10" ht="14.1" customHeight="1" x14ac:dyDescent="0.25"/>
    <row r="47" spans="2:10" ht="14.1" customHeight="1" x14ac:dyDescent="0.25"/>
    <row r="67" spans="2:9" x14ac:dyDescent="0.25">
      <c r="B67" s="33" t="s">
        <v>135</v>
      </c>
      <c r="C67" s="34"/>
      <c r="D67" s="34"/>
      <c r="E67" s="34"/>
      <c r="F67" s="34"/>
      <c r="G67" s="34"/>
      <c r="H67" s="34"/>
      <c r="I67" s="35"/>
    </row>
    <row r="68" spans="2:9" ht="45" x14ac:dyDescent="0.25">
      <c r="B68" s="13"/>
      <c r="C68" s="76" t="s">
        <v>136</v>
      </c>
      <c r="D68" s="19">
        <v>2025</v>
      </c>
      <c r="E68" s="76" t="s">
        <v>137</v>
      </c>
      <c r="F68" s="19">
        <v>2035</v>
      </c>
      <c r="G68" s="19">
        <v>2040</v>
      </c>
      <c r="H68" s="19">
        <v>2045</v>
      </c>
      <c r="I68" s="20">
        <v>2050</v>
      </c>
    </row>
    <row r="69" spans="2:9" x14ac:dyDescent="0.25">
      <c r="B69" s="6" t="s">
        <v>138</v>
      </c>
      <c r="C69" s="88">
        <f>C14</f>
        <v>30000</v>
      </c>
      <c r="D69" s="88">
        <f t="shared" ref="D69:I69" si="1">E14</f>
        <v>21000</v>
      </c>
      <c r="E69" s="88">
        <f t="shared" si="1"/>
        <v>14500</v>
      </c>
      <c r="F69" s="88">
        <f t="shared" si="1"/>
        <v>9000</v>
      </c>
      <c r="G69" s="88">
        <f t="shared" si="1"/>
        <v>5000</v>
      </c>
      <c r="H69" s="88">
        <f t="shared" si="1"/>
        <v>2500</v>
      </c>
      <c r="I69" s="89">
        <f t="shared" si="1"/>
        <v>0</v>
      </c>
    </row>
    <row r="70" spans="2:9" x14ac:dyDescent="0.25">
      <c r="B70" s="51" t="s">
        <v>139</v>
      </c>
      <c r="C70" s="189">
        <f>C69</f>
        <v>30000</v>
      </c>
      <c r="D70" s="189">
        <f>SUM(C70,E70)/2</f>
        <v>22250</v>
      </c>
      <c r="E70" s="189">
        <f>E69</f>
        <v>14500</v>
      </c>
      <c r="F70" s="189"/>
      <c r="G70" s="189"/>
      <c r="H70" s="189"/>
      <c r="I70" s="190"/>
    </row>
  </sheetData>
  <pageMargins left="0.7" right="0.7" top="0.78740157499999996" bottom="0.78740157499999996" header="0.3" footer="0.3"/>
  <pageSetup paperSize="9" orientation="portrait" r:id="rId1"/>
  <headerFooter>
    <oddHeader>&amp;C&amp;"Calibri"&amp;10&amp;K000000Umweltbundesamt GmbH - intern&amp;1#</oddHeader>
    <oddFooter>&amp;C&amp;1#&amp;"Calibri"&amp;10&amp;K000000Umweltbundesamt GmbH - intern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Overview</vt:lpstr>
      <vt:lpstr>General calculation method (1)</vt:lpstr>
      <vt:lpstr>General calculation method (2)</vt:lpstr>
      <vt:lpstr>PCAF comparison</vt:lpstr>
      <vt:lpstr>Dealing with inconsistency</vt:lpstr>
      <vt:lpstr>Tracking progress</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Payami Pedram</dc:creator>
  <cp:lastModifiedBy>Payami Pedram</cp:lastModifiedBy>
  <dcterms:created xsi:type="dcterms:W3CDTF">2024-05-15T06:02:03Z</dcterms:created>
  <dcterms:modified xsi:type="dcterms:W3CDTF">2025-12-15T13:59:32Z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2a7da2-0ea2-434f-998c-7f9668043cb7_Enabled">
    <vt:lpwstr>true</vt:lpwstr>
  </property>
  <property fmtid="{D5CDD505-2E9C-101B-9397-08002B2CF9AE}" pid="3" name="MSIP_Label_442a7da2-0ea2-434f-998c-7f9668043cb7_SetDate">
    <vt:lpwstr>2024-07-31T07:42:10Z</vt:lpwstr>
  </property>
  <property fmtid="{D5CDD505-2E9C-101B-9397-08002B2CF9AE}" pid="4" name="MSIP_Label_442a7da2-0ea2-434f-998c-7f9668043cb7_Method">
    <vt:lpwstr>Privileged</vt:lpwstr>
  </property>
  <property fmtid="{D5CDD505-2E9C-101B-9397-08002B2CF9AE}" pid="5" name="MSIP_Label_442a7da2-0ea2-434f-998c-7f9668043cb7_Name">
    <vt:lpwstr>Intern</vt:lpwstr>
  </property>
  <property fmtid="{D5CDD505-2E9C-101B-9397-08002B2CF9AE}" pid="6" name="MSIP_Label_442a7da2-0ea2-434f-998c-7f9668043cb7_SiteId">
    <vt:lpwstr>344fca12-964d-42f0-9c3b-ff24b97e2be7</vt:lpwstr>
  </property>
  <property fmtid="{D5CDD505-2E9C-101B-9397-08002B2CF9AE}" pid="7" name="MSIP_Label_442a7da2-0ea2-434f-998c-7f9668043cb7_ActionId">
    <vt:lpwstr>f73669c6-abe5-4eb9-8ea6-433b2f869b83</vt:lpwstr>
  </property>
  <property fmtid="{D5CDD505-2E9C-101B-9397-08002B2CF9AE}" pid="8" name="MSIP_Label_442a7da2-0ea2-434f-998c-7f9668043cb7_ContentBits">
    <vt:lpwstr>0</vt:lpwstr>
  </property>
</Properties>
</file>